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michaelmcgrath/Desktop/College AI Book/"/>
    </mc:Choice>
  </mc:AlternateContent>
  <xr:revisionPtr revIDLastSave="0" documentId="8_{3F117780-99E2-0248-BC20-3AB639A81A4A}" xr6:coauthVersionLast="47" xr6:coauthVersionMax="47" xr10:uidLastSave="{00000000-0000-0000-0000-000000000000}"/>
  <bookViews>
    <workbookView xWindow="4880" yWindow="600" windowWidth="46320" windowHeight="26240" activeTab="1" xr2:uid="{00000000-000D-0000-FFFF-FFFF00000000}"/>
  </bookViews>
  <sheets>
    <sheet name="Summary" sheetId="1" r:id="rId1"/>
    <sheet name="Assumptions" sheetId="2" r:id="rId2"/>
    <sheet name="15-Year Model" sheetId="3" r:id="rId3"/>
    <sheet name="Sources &amp; Notes" sheetId="5" r:id="rId4"/>
    <sheet name="Checks" sheetId="6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2" l="1"/>
  <c r="B49" i="2" s="1"/>
  <c r="B8" i="2" s="1"/>
  <c r="B9" i="6"/>
  <c r="D9" i="6" s="1"/>
  <c r="F9" i="6" s="1"/>
  <c r="B8" i="6"/>
  <c r="D8" i="6" s="1"/>
  <c r="F8" i="6" s="1"/>
  <c r="O20" i="3"/>
  <c r="K20" i="3"/>
  <c r="G20" i="3"/>
  <c r="D20" i="3"/>
  <c r="C20" i="3"/>
  <c r="E20" i="3" s="1"/>
  <c r="S20" i="3" s="1"/>
  <c r="B20" i="3"/>
  <c r="O19" i="3"/>
  <c r="K19" i="3"/>
  <c r="G19" i="3"/>
  <c r="D19" i="3"/>
  <c r="C19" i="3"/>
  <c r="E19" i="3" s="1"/>
  <c r="S19" i="3" s="1"/>
  <c r="B19" i="3"/>
  <c r="O18" i="3"/>
  <c r="K18" i="3"/>
  <c r="G18" i="3"/>
  <c r="D18" i="3"/>
  <c r="C18" i="3"/>
  <c r="E18" i="3" s="1"/>
  <c r="S18" i="3" s="1"/>
  <c r="B18" i="3"/>
  <c r="O17" i="3"/>
  <c r="K17" i="3"/>
  <c r="G17" i="3"/>
  <c r="D17" i="3"/>
  <c r="C17" i="3"/>
  <c r="E17" i="3" s="1"/>
  <c r="S17" i="3" s="1"/>
  <c r="B17" i="3"/>
  <c r="O16" i="3"/>
  <c r="K16" i="3"/>
  <c r="G16" i="3"/>
  <c r="D16" i="3"/>
  <c r="C16" i="3"/>
  <c r="E16" i="3" s="1"/>
  <c r="S16" i="3" s="1"/>
  <c r="B16" i="3"/>
  <c r="O15" i="3"/>
  <c r="K15" i="3"/>
  <c r="G15" i="3"/>
  <c r="D15" i="3"/>
  <c r="C15" i="3"/>
  <c r="E15" i="3" s="1"/>
  <c r="S15" i="3" s="1"/>
  <c r="B15" i="3"/>
  <c r="O14" i="3"/>
  <c r="K14" i="3"/>
  <c r="G14" i="3"/>
  <c r="D14" i="3"/>
  <c r="C14" i="3"/>
  <c r="E14" i="3" s="1"/>
  <c r="S14" i="3" s="1"/>
  <c r="B14" i="3"/>
  <c r="O13" i="3"/>
  <c r="K13" i="3"/>
  <c r="G13" i="3"/>
  <c r="D13" i="3"/>
  <c r="C13" i="3"/>
  <c r="E13" i="3" s="1"/>
  <c r="S13" i="3" s="1"/>
  <c r="B13" i="3"/>
  <c r="O12" i="3"/>
  <c r="K12" i="3"/>
  <c r="G12" i="3"/>
  <c r="D12" i="3"/>
  <c r="C12" i="3"/>
  <c r="E12" i="3" s="1"/>
  <c r="S12" i="3" s="1"/>
  <c r="B12" i="3"/>
  <c r="O11" i="3"/>
  <c r="K11" i="3"/>
  <c r="G11" i="3"/>
  <c r="D11" i="3"/>
  <c r="C11" i="3"/>
  <c r="E11" i="3" s="1"/>
  <c r="S11" i="3" s="1"/>
  <c r="B11" i="3"/>
  <c r="O10" i="3"/>
  <c r="K10" i="3"/>
  <c r="G10" i="3"/>
  <c r="D10" i="3"/>
  <c r="C10" i="3"/>
  <c r="B10" i="3"/>
  <c r="P9" i="3"/>
  <c r="L9" i="3"/>
  <c r="H9" i="3"/>
  <c r="D9" i="3"/>
  <c r="C9" i="3"/>
  <c r="E9" i="3" s="1"/>
  <c r="S9" i="3" s="1"/>
  <c r="B9" i="3"/>
  <c r="P8" i="3"/>
  <c r="L8" i="3"/>
  <c r="H8" i="3"/>
  <c r="D8" i="3"/>
  <c r="C8" i="3"/>
  <c r="E8" i="3" s="1"/>
  <c r="S8" i="3" s="1"/>
  <c r="B8" i="3"/>
  <c r="P7" i="3"/>
  <c r="L7" i="3"/>
  <c r="H7" i="3"/>
  <c r="D7" i="3"/>
  <c r="E7" i="1" s="1"/>
  <c r="C7" i="3"/>
  <c r="B7" i="3"/>
  <c r="P6" i="3"/>
  <c r="L6" i="3"/>
  <c r="H6" i="3"/>
  <c r="D6" i="3"/>
  <c r="C6" i="3"/>
  <c r="B6" i="3"/>
  <c r="B14" i="2"/>
  <c r="B15" i="2" s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H7" i="1"/>
  <c r="E6" i="3" l="1"/>
  <c r="B7" i="1"/>
  <c r="G6" i="3"/>
  <c r="G9" i="3"/>
  <c r="I9" i="3" s="1"/>
  <c r="T9" i="3" s="1"/>
  <c r="K6" i="3"/>
  <c r="K7" i="3"/>
  <c r="M7" i="3" s="1"/>
  <c r="G8" i="3"/>
  <c r="I8" i="3" s="1"/>
  <c r="T8" i="3" s="1"/>
  <c r="O9" i="3"/>
  <c r="Q9" i="3" s="1"/>
  <c r="V9" i="3" s="1"/>
  <c r="O6" i="3"/>
  <c r="G7" i="3"/>
  <c r="I7" i="3" s="1"/>
  <c r="O7" i="3"/>
  <c r="Q7" i="3" s="1"/>
  <c r="K8" i="3"/>
  <c r="M8" i="3" s="1"/>
  <c r="U8" i="3" s="1"/>
  <c r="O8" i="3"/>
  <c r="Q8" i="3" s="1"/>
  <c r="V8" i="3" s="1"/>
  <c r="K9" i="3"/>
  <c r="M9" i="3" s="1"/>
  <c r="U9" i="3" s="1"/>
  <c r="C10" i="1"/>
  <c r="C9" i="1"/>
  <c r="C8" i="1"/>
  <c r="E10" i="3"/>
  <c r="S10" i="3" s="1"/>
  <c r="C7" i="1"/>
  <c r="D7" i="1"/>
  <c r="E7" i="3"/>
  <c r="F6" i="3"/>
  <c r="B18" i="1" s="1"/>
  <c r="S6" i="3"/>
  <c r="L12" i="3"/>
  <c r="M12" i="3" s="1"/>
  <c r="U12" i="3" s="1"/>
  <c r="H10" i="3"/>
  <c r="I10" i="3" s="1"/>
  <c r="L10" i="3"/>
  <c r="M10" i="3" s="1"/>
  <c r="P10" i="3"/>
  <c r="Q10" i="3" s="1"/>
  <c r="H11" i="3"/>
  <c r="I11" i="3" s="1"/>
  <c r="T11" i="3" s="1"/>
  <c r="L11" i="3"/>
  <c r="M11" i="3" s="1"/>
  <c r="U11" i="3" s="1"/>
  <c r="P11" i="3"/>
  <c r="Q11" i="3" s="1"/>
  <c r="V11" i="3" s="1"/>
  <c r="H12" i="3"/>
  <c r="I12" i="3" s="1"/>
  <c r="T12" i="3" s="1"/>
  <c r="P12" i="3"/>
  <c r="Q12" i="3" s="1"/>
  <c r="V12" i="3" s="1"/>
  <c r="H13" i="3"/>
  <c r="I13" i="3" s="1"/>
  <c r="T13" i="3" s="1"/>
  <c r="L13" i="3"/>
  <c r="M13" i="3" s="1"/>
  <c r="U13" i="3" s="1"/>
  <c r="P13" i="3"/>
  <c r="Q13" i="3" s="1"/>
  <c r="V13" i="3" s="1"/>
  <c r="H14" i="3"/>
  <c r="I14" i="3" s="1"/>
  <c r="T14" i="3" s="1"/>
  <c r="L14" i="3"/>
  <c r="M14" i="3" s="1"/>
  <c r="U14" i="3" s="1"/>
  <c r="P14" i="3"/>
  <c r="Q14" i="3" s="1"/>
  <c r="V14" i="3" s="1"/>
  <c r="H15" i="3"/>
  <c r="I15" i="3" s="1"/>
  <c r="T15" i="3" s="1"/>
  <c r="L15" i="3"/>
  <c r="M15" i="3" s="1"/>
  <c r="U15" i="3" s="1"/>
  <c r="P15" i="3"/>
  <c r="Q15" i="3" s="1"/>
  <c r="V15" i="3" s="1"/>
  <c r="H16" i="3"/>
  <c r="I16" i="3" s="1"/>
  <c r="T16" i="3" s="1"/>
  <c r="L16" i="3"/>
  <c r="M16" i="3" s="1"/>
  <c r="U16" i="3" s="1"/>
  <c r="P16" i="3"/>
  <c r="Q16" i="3" s="1"/>
  <c r="V16" i="3" s="1"/>
  <c r="H17" i="3"/>
  <c r="I17" i="3" s="1"/>
  <c r="T17" i="3" s="1"/>
  <c r="L17" i="3"/>
  <c r="M17" i="3" s="1"/>
  <c r="U17" i="3" s="1"/>
  <c r="P17" i="3"/>
  <c r="Q17" i="3" s="1"/>
  <c r="V17" i="3" s="1"/>
  <c r="H18" i="3"/>
  <c r="I18" i="3" s="1"/>
  <c r="T18" i="3" s="1"/>
  <c r="L18" i="3"/>
  <c r="M18" i="3" s="1"/>
  <c r="U18" i="3" s="1"/>
  <c r="P18" i="3"/>
  <c r="Q18" i="3" s="1"/>
  <c r="V18" i="3" s="1"/>
  <c r="H19" i="3"/>
  <c r="I19" i="3" s="1"/>
  <c r="T19" i="3" s="1"/>
  <c r="L19" i="3"/>
  <c r="M19" i="3" s="1"/>
  <c r="U19" i="3" s="1"/>
  <c r="P19" i="3"/>
  <c r="Q19" i="3" s="1"/>
  <c r="V19" i="3" s="1"/>
  <c r="H20" i="3"/>
  <c r="I20" i="3" s="1"/>
  <c r="T20" i="3" s="1"/>
  <c r="L20" i="3"/>
  <c r="M20" i="3" s="1"/>
  <c r="U20" i="3" s="1"/>
  <c r="P20" i="3"/>
  <c r="Q20" i="3" s="1"/>
  <c r="V20" i="3" s="1"/>
  <c r="B8" i="1" l="1"/>
  <c r="I6" i="3"/>
  <c r="D8" i="1"/>
  <c r="B9" i="1"/>
  <c r="M6" i="3"/>
  <c r="D9" i="1"/>
  <c r="B10" i="1"/>
  <c r="Q6" i="3"/>
  <c r="D10" i="1"/>
  <c r="R7" i="3"/>
  <c r="E19" i="1" s="1"/>
  <c r="V6" i="3"/>
  <c r="R6" i="3"/>
  <c r="E18" i="1" s="1"/>
  <c r="T10" i="3"/>
  <c r="U10" i="3"/>
  <c r="E8" i="1"/>
  <c r="B7" i="6"/>
  <c r="C7" i="6"/>
  <c r="E9" i="1"/>
  <c r="E10" i="1"/>
  <c r="V7" i="3"/>
  <c r="U7" i="3"/>
  <c r="T7" i="3"/>
  <c r="S7" i="3"/>
  <c r="G7" i="1" s="1"/>
  <c r="F20" i="3"/>
  <c r="F10" i="3"/>
  <c r="B22" i="1" s="1"/>
  <c r="F11" i="3"/>
  <c r="B23" i="1" s="1"/>
  <c r="F12" i="3"/>
  <c r="B24" i="1" s="1"/>
  <c r="F13" i="3"/>
  <c r="B25" i="1" s="1"/>
  <c r="F14" i="3"/>
  <c r="B26" i="1" s="1"/>
  <c r="F15" i="3"/>
  <c r="B27" i="1" s="1"/>
  <c r="F9" i="3"/>
  <c r="B21" i="1" s="1"/>
  <c r="F7" i="3"/>
  <c r="B19" i="1" s="1"/>
  <c r="F8" i="3"/>
  <c r="B20" i="1" s="1"/>
  <c r="F16" i="3"/>
  <c r="B28" i="1" s="1"/>
  <c r="F17" i="3"/>
  <c r="B29" i="1" s="1"/>
  <c r="F18" i="3"/>
  <c r="B30" i="1" s="1"/>
  <c r="F19" i="3"/>
  <c r="B31" i="1" s="1"/>
  <c r="V10" i="3"/>
  <c r="J9" i="3" l="1"/>
  <c r="C21" i="1" s="1"/>
  <c r="T6" i="3"/>
  <c r="G8" i="1" s="1"/>
  <c r="J6" i="3"/>
  <c r="C18" i="1" s="1"/>
  <c r="J7" i="3"/>
  <c r="C19" i="1" s="1"/>
  <c r="J8" i="3"/>
  <c r="C20" i="1" s="1"/>
  <c r="J12" i="3"/>
  <c r="C24" i="1" s="1"/>
  <c r="N6" i="3"/>
  <c r="D18" i="1" s="1"/>
  <c r="U6" i="3"/>
  <c r="G9" i="1" s="1"/>
  <c r="N7" i="3"/>
  <c r="D19" i="1" s="1"/>
  <c r="N19" i="3"/>
  <c r="D31" i="1" s="1"/>
  <c r="N8" i="3"/>
  <c r="D20" i="1" s="1"/>
  <c r="J17" i="3"/>
  <c r="C29" i="1" s="1"/>
  <c r="J16" i="3"/>
  <c r="C28" i="1" s="1"/>
  <c r="J18" i="3"/>
  <c r="C30" i="1" s="1"/>
  <c r="J15" i="3"/>
  <c r="C27" i="1" s="1"/>
  <c r="J14" i="3"/>
  <c r="C26" i="1" s="1"/>
  <c r="J13" i="3"/>
  <c r="C25" i="1" s="1"/>
  <c r="J11" i="3"/>
  <c r="C23" i="1" s="1"/>
  <c r="J10" i="3"/>
  <c r="C22" i="1" s="1"/>
  <c r="J20" i="3"/>
  <c r="J19" i="3"/>
  <c r="C31" i="1" s="1"/>
  <c r="N17" i="3"/>
  <c r="D29" i="1" s="1"/>
  <c r="N9" i="3"/>
  <c r="D21" i="1" s="1"/>
  <c r="N10" i="3"/>
  <c r="D22" i="1" s="1"/>
  <c r="N14" i="3"/>
  <c r="D26" i="1" s="1"/>
  <c r="N15" i="3"/>
  <c r="D27" i="1" s="1"/>
  <c r="N16" i="3"/>
  <c r="D28" i="1" s="1"/>
  <c r="N18" i="3"/>
  <c r="D30" i="1" s="1"/>
  <c r="N20" i="3"/>
  <c r="N12" i="3"/>
  <c r="D24" i="1" s="1"/>
  <c r="N13" i="3"/>
  <c r="D25" i="1" s="1"/>
  <c r="N11" i="3"/>
  <c r="D23" i="1" s="1"/>
  <c r="R9" i="3"/>
  <c r="E21" i="1" s="1"/>
  <c r="R15" i="3"/>
  <c r="E27" i="1" s="1"/>
  <c r="R8" i="3"/>
  <c r="E20" i="1" s="1"/>
  <c r="R14" i="3"/>
  <c r="E26" i="1" s="1"/>
  <c r="R20" i="3"/>
  <c r="R16" i="3"/>
  <c r="E28" i="1" s="1"/>
  <c r="R11" i="3"/>
  <c r="E23" i="1" s="1"/>
  <c r="R10" i="3"/>
  <c r="E22" i="1" s="1"/>
  <c r="R18" i="3"/>
  <c r="E30" i="1" s="1"/>
  <c r="R19" i="3"/>
  <c r="E31" i="1" s="1"/>
  <c r="R12" i="3"/>
  <c r="E24" i="1" s="1"/>
  <c r="R13" i="3"/>
  <c r="E25" i="1" s="1"/>
  <c r="R17" i="3"/>
  <c r="E29" i="1" s="1"/>
  <c r="G10" i="1"/>
  <c r="E32" i="1"/>
  <c r="F10" i="1"/>
  <c r="B32" i="1"/>
  <c r="F7" i="1"/>
  <c r="K25" i="1" s="1"/>
  <c r="D7" i="6"/>
  <c r="F7" i="6" s="1"/>
  <c r="C32" i="1" l="1"/>
  <c r="F8" i="1"/>
  <c r="F9" i="1"/>
  <c r="D32" i="1"/>
  <c r="H10" i="1"/>
  <c r="K28" i="1"/>
  <c r="K27" i="1" l="1"/>
  <c r="H9" i="1"/>
  <c r="K26" i="1"/>
  <c r="H8" i="1"/>
  <c r="B6" i="6"/>
  <c r="D6" i="6" s="1"/>
  <c r="F6" i="6" s="1"/>
  <c r="F10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tc={7B5A1B4F-688B-14B8-518F-C8EA9B614A39}</author>
    <author>tc={F5CF197E-3FBC-07C0-C4AA-11E0FDDF8B26}</author>
    <author>tc={960F697B-09AE-E083-5378-42538FFDC8B7}</author>
  </authors>
  <commentList>
    <comment ref="B10" authorId="0" shapeId="0" xr:uid="{00000000-0006-0000-01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Source: Federal Student Aid, 2026–27 Direct undergraduate loan rate. Full URL is on Sources &amp; Notes.</t>
      </text>
    </comment>
    <comment ref="B21" authorId="1" shapeId="0" xr:uid="{00000000-0006-0000-0100-000002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Source: U.S. Bureau of Labor Statistics, Electricians, 2024 median annual wage. Full URL is on Sources &amp; Notes.</t>
      </text>
    </comment>
    <comment ref="B26" authorId="2" shapeId="0" xr:uid="{00000000-0006-0000-0100-000003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Illustrative strong graduate outcome benchmarked to the NACE Winter 2026 Salary Survey. Full URL is on Sources &amp; Notes.</t>
      </text>
    </comment>
  </commentList>
</comments>
</file>

<file path=xl/sharedStrings.xml><?xml version="1.0" encoding="utf-8"?>
<sst xmlns="http://schemas.openxmlformats.org/spreadsheetml/2006/main" count="332" uniqueCount="184">
  <si>
    <t>College vs. Trade: 15-Year Financial Comparison</t>
  </si>
  <si>
    <t>Illustrative model from high-school graduation through Year 15. Change any yellow assumption to test a different future.</t>
  </si>
  <si>
    <t>Key result: cumulative income after required student-loan payments</t>
  </si>
  <si>
    <t>Path</t>
  </si>
  <si>
    <t>Year 1 Income</t>
  </si>
  <si>
    <t>Year 5 Income</t>
  </si>
  <si>
    <t>15-Yr Gross Income</t>
  </si>
  <si>
    <t>Loan Payments</t>
  </si>
  <si>
    <t>15-Yr Net Income</t>
  </si>
  <si>
    <t>Present Value</t>
  </si>
  <si>
    <t>Net vs. Trade</t>
  </si>
  <si>
    <t>Trade — electrician</t>
  </si>
  <si>
    <t>College — good graduate job</t>
  </si>
  <si>
    <t>College — lower-paying graduate job</t>
  </si>
  <si>
    <t>College degree — non-college job</t>
  </si>
  <si>
    <t>How to read the model</t>
  </si>
  <si>
    <t>Net income</t>
  </si>
  <si>
    <t>Gross earnings less required loan payments; taxes and living costs are excluded.</t>
  </si>
  <si>
    <t>Opportunity cost</t>
  </si>
  <si>
    <t>The trade path earns during Years 1–4; college paths receive only the editable in-school earnings assumption.</t>
  </si>
  <si>
    <t>Year</t>
  </si>
  <si>
    <t>Trade</t>
  </si>
  <si>
    <t>Good Grad</t>
  </si>
  <si>
    <t>Lower Grad</t>
  </si>
  <si>
    <t>Degree / Non-College Job</t>
  </si>
  <si>
    <t>15-Year Net Income</t>
  </si>
  <si>
    <t>15-Year College vs. Trade Model — Assumptions</t>
  </si>
  <si>
    <t>Blue-font, yellow-filled cells are editable. Dollar amounts are nominal, pre-tax, and before living expenses.</t>
  </si>
  <si>
    <t>Global assumptions</t>
  </si>
  <si>
    <t>Assumption</t>
  </si>
  <si>
    <t>Value</t>
  </si>
  <si>
    <t>Units</t>
  </si>
  <si>
    <t>Modeling note</t>
  </si>
  <si>
    <t>Analysis horizon</t>
  </si>
  <si>
    <t>years</t>
  </si>
  <si>
    <t>From high-school graduation</t>
  </si>
  <si>
    <t>College duration</t>
  </si>
  <si>
    <t>College paths begin full-time work in Year 5</t>
  </si>
  <si>
    <t>$ / year</t>
  </si>
  <si>
    <t>Illustrative part-time/summer earnings</t>
  </si>
  <si>
    <t>Loan balance at graduation</t>
  </si>
  <si>
    <t>$</t>
  </si>
  <si>
    <t>Specified by user; treated as principal at graduation</t>
  </si>
  <si>
    <t>Student-loan interest rate</t>
  </si>
  <si>
    <t>%</t>
  </si>
  <si>
    <t>2026–27 federal Direct undergraduate rate</t>
  </si>
  <si>
    <t>Repayment period after graduation</t>
  </si>
  <si>
    <t>Years 5–15; fully repaid within model horizon</t>
  </si>
  <si>
    <t>Discount rate</t>
  </si>
  <si>
    <t>Used only for present-value comparison</t>
  </si>
  <si>
    <t>Monthly loan payment</t>
  </si>
  <si>
    <t>$ / month</t>
  </si>
  <si>
    <t>Calculated from principal, rate, and repayment term</t>
  </si>
  <si>
    <t>Annual loan payment</t>
  </si>
  <si>
    <t>Monthly payment multiplied by 12</t>
  </si>
  <si>
    <t>Trade path — electrician apprenticeship example</t>
  </si>
  <si>
    <t>Year 1 apprentice earnings</t>
  </si>
  <si>
    <t>Illustrative paid-apprenticeship starting estimate</t>
  </si>
  <si>
    <t>Annual apprentice wage growth</t>
  </si>
  <si>
    <t>Years 1–4 as skills and hours progress</t>
  </si>
  <si>
    <t>Qualified electrician salary in Year 5</t>
  </si>
  <si>
    <t>BLS 2024 median annual wage</t>
  </si>
  <si>
    <t>Annual wage growth after qualification</t>
  </si>
  <si>
    <t>Illustrative nominal growth</t>
  </si>
  <si>
    <t>College outcomes</t>
  </si>
  <si>
    <t>Path / assumption</t>
  </si>
  <si>
    <t>Good college-graduate job: Year 5 salary</t>
  </si>
  <si>
    <t>Illustrative strong outcome; below top 2026 NACE major averages</t>
  </si>
  <si>
    <t>Good college-graduate job: annual growth</t>
  </si>
  <si>
    <t>Illustrative promotion and wage growth</t>
  </si>
  <si>
    <t>Lower-paying graduate job: Year 5 salary</t>
  </si>
  <si>
    <t>Illustrative graduate-level outcome below bachelor's median</t>
  </si>
  <si>
    <t>Lower-paying graduate job: annual growth</t>
  </si>
  <si>
    <t>Illustrative nominal wage growth</t>
  </si>
  <si>
    <t>Degree holder in non-college job: Year 5 salary</t>
  </si>
  <si>
    <t>Illustrative job not requiring a degree</t>
  </si>
  <si>
    <t>Degree holder in non-college job: annual growth</t>
  </si>
  <si>
    <t>Color key</t>
  </si>
  <si>
    <t>Meaning</t>
  </si>
  <si>
    <t>Blue font / yellow fill</t>
  </si>
  <si>
    <t>Editable assumption</t>
  </si>
  <si>
    <t>Green font</t>
  </si>
  <si>
    <t>Formula linked from another worksheet</t>
  </si>
  <si>
    <t>15-Year Income and Debt Model</t>
  </si>
  <si>
    <t>Gross income less required student-loan payments. Cumulative figures capture the trade worker’s four-year head start.</t>
  </si>
  <si>
    <t>Age</t>
  </si>
  <si>
    <t>Trade Gross</t>
  </si>
  <si>
    <t>Trade Loan</t>
  </si>
  <si>
    <t>Trade Net</t>
  </si>
  <si>
    <t>Trade Cumulative</t>
  </si>
  <si>
    <t>Good Grad Gross</t>
  </si>
  <si>
    <t>Good Grad Loan</t>
  </si>
  <si>
    <t>Good Grad Net</t>
  </si>
  <si>
    <t>Good Grad Cumulative</t>
  </si>
  <si>
    <t>Lower Grad Gross</t>
  </si>
  <si>
    <t>Lower Grad Loan</t>
  </si>
  <si>
    <t>Lower Grad Net</t>
  </si>
  <si>
    <t>Lower Grad Cumulative</t>
  </si>
  <si>
    <t>Non-College Job Gross</t>
  </si>
  <si>
    <t>Non-College Job Loan</t>
  </si>
  <si>
    <t>Non-College Job Net</t>
  </si>
  <si>
    <t>Non-College Job Cumulative</t>
  </si>
  <si>
    <t>Trade PV Net</t>
  </si>
  <si>
    <t>Good Grad PV Net</t>
  </si>
  <si>
    <t>Lower Grad PV Net</t>
  </si>
  <si>
    <t>Non-College Job PV Net</t>
  </si>
  <si>
    <t>Sources, Benchmarks, and Limitations</t>
  </si>
  <si>
    <t>Sources anchor selected assumptions; the scenario values remain illustrative and should be stress-tested.</t>
  </si>
  <si>
    <t>Item</t>
  </si>
  <si>
    <t>Benchmark</t>
  </si>
  <si>
    <t>Period</t>
  </si>
  <si>
    <t>Source</t>
  </si>
  <si>
    <t>URL</t>
  </si>
  <si>
    <t>Use in model</t>
  </si>
  <si>
    <t>Federal undergraduate loan rate</t>
  </si>
  <si>
    <t>6.52%</t>
  </si>
  <si>
    <t>2026–27</t>
  </si>
  <si>
    <t>U.S. Department of Education / Federal Student Aid</t>
  </si>
  <si>
    <t>https://fsapartners.ed.gov/knowledge-center/library/electronic-announcements/2026-06-04/interest-rates-federal-direct-loans-first-disbursed-between-july-1-2026-and-june-30-2027</t>
  </si>
  <si>
    <t>Direct input</t>
  </si>
  <si>
    <t>Electrician median pay</t>
  </si>
  <si>
    <t>$62,350</t>
  </si>
  <si>
    <t>2024</t>
  </si>
  <si>
    <t>U.S. Bureau of Labor Statistics</t>
  </si>
  <si>
    <t>https://www.bls.gov/ooh/construction-and-extraction/electricians.htm</t>
  </si>
  <si>
    <t>Year 5 qualified-trade salary</t>
  </si>
  <si>
    <t>Bachelor's median weekly earnings</t>
  </si>
  <si>
    <t>$1,543/week</t>
  </si>
  <si>
    <t>https://www.bls.gov/emp/tables/unemployment-earnings-education.htm</t>
  </si>
  <si>
    <t>Reasonableness benchmark</t>
  </si>
  <si>
    <t>High-school median weekly earnings</t>
  </si>
  <si>
    <t>$930/week</t>
  </si>
  <si>
    <t>Projected starting salary — computer sciences</t>
  </si>
  <si>
    <t>$81,535</t>
  </si>
  <si>
    <t>Class of 2026</t>
  </si>
  <si>
    <t>NACE Winter 2026 Salary Survey</t>
  </si>
  <si>
    <t>https://www.naceweb.org/docs/default-source/default-document-library/2026/publication/executive-summary/nace-winter-2026-salary-survey-executive-summary.pdf</t>
  </si>
  <si>
    <t>Upper benchmark for strong graduate outcome</t>
  </si>
  <si>
    <t>Projected starting salary — business</t>
  </si>
  <si>
    <t>$68,873</t>
  </si>
  <si>
    <t>Benchmark for graduate starting pay</t>
  </si>
  <si>
    <t>Model date</t>
  </si>
  <si>
    <t>July 2026</t>
  </si>
  <si>
    <t>Current</t>
  </si>
  <si>
    <t>Prepared for research use</t>
  </si>
  <si>
    <t>Scenario context</t>
  </si>
  <si>
    <t>Important limitations</t>
  </si>
  <si>
    <t>1</t>
  </si>
  <si>
    <t>This is a scenario model, not a forecast for any individual. Occupation, major, geography, employer, economic cycles, and AI exposure can materially change results.</t>
  </si>
  <si>
    <t>2</t>
  </si>
  <si>
    <t>Results are pre-tax and exclude tuition paid without loans, grants, retirement benefits, health insurance, unemployment, living costs, and trade tools or licensing costs.</t>
  </si>
  <si>
    <t>3</t>
  </si>
  <si>
    <t>The $100,000 balance is assumed to exist at graduation. In-school interest accrual and loan fees are not modeled.</t>
  </si>
  <si>
    <t>4</t>
  </si>
  <si>
    <t>Loan repayment uses a fixed 6.52% rate over 11 years after graduation so the balance is extinguished within the 15-year analysis window.</t>
  </si>
  <si>
    <t>5</t>
  </si>
  <si>
    <t>Nominal salary growth is illustrative. Use the Assumptions sheet for sensitivity analysis, including AI-related wage pressure or premiums.</t>
  </si>
  <si>
    <t>6</t>
  </si>
  <si>
    <t>The model compares earned income and debt service only; it does not assign a monetary value to education, career flexibility, job satisfaction, or risk.</t>
  </si>
  <si>
    <t>Model Checks</t>
  </si>
  <si>
    <t>All checks should show OK before relying on the results.</t>
  </si>
  <si>
    <t>Check</t>
  </si>
  <si>
    <t>Actual</t>
  </si>
  <si>
    <t>Expected</t>
  </si>
  <si>
    <t>Difference</t>
  </si>
  <si>
    <t>Tolerance</t>
  </si>
  <si>
    <t>Status</t>
  </si>
  <si>
    <t>Notes</t>
  </si>
  <si>
    <t>Loan ending balance</t>
  </si>
  <si>
    <t>Ending balance after 11 repayment years</t>
  </si>
  <si>
    <t>Loan payments tie to model</t>
  </si>
  <si>
    <t>Good graduate path compared with loan schedule</t>
  </si>
  <si>
    <t>Trade net equals gross</t>
  </si>
  <si>
    <t>Trade has no education loan</t>
  </si>
  <si>
    <t>Model horizon</t>
  </si>
  <si>
    <t>Number of annual periods</t>
  </si>
  <si>
    <t>MODEL STATUS</t>
  </si>
  <si>
    <t>Aggregates all check statuses</t>
  </si>
  <si>
    <t>Tuition</t>
  </si>
  <si>
    <t>Less Earned by Student</t>
  </si>
  <si>
    <t>Less Student Loan</t>
  </si>
  <si>
    <t>Net Cost per year</t>
  </si>
  <si>
    <t>Annual earnings while in college (net of tuition)</t>
  </si>
  <si>
    <t>College Earnings and Tuition Costs: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</si>
</sst>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;[Red]\(\$#,##0\);\-"/>
    <numFmt numFmtId="165" formatCode="0.0%;[Red]\(0.0%\);\-"/>
    <numFmt numFmtId="166" formatCode="#,##0;[Red]\(#,##0\);\-"/>
    <numFmt numFmtId="167" formatCode="&quot;$&quot;#,##0"/>
  </numFmts>
  <fonts count="12">
    <font>
      <sz val="11"/>
      <name val="Carlito"/>
    </font>
    <font>
      <b/>
      <sz val="20"/>
      <color rgb="FFFFFFFF"/>
      <name val="Aptos"/>
    </font>
    <font>
      <i/>
      <sz val="10"/>
      <color rgb="FF17365D"/>
      <name val="Aptos"/>
    </font>
    <font>
      <sz val="11"/>
      <name val="Aptos"/>
    </font>
    <font>
      <b/>
      <sz val="11"/>
      <color rgb="FFFFFFFF"/>
      <name val="Aptos"/>
    </font>
    <font>
      <sz val="11"/>
      <color rgb="FF0000FF"/>
      <name val="Aptos"/>
    </font>
    <font>
      <sz val="11"/>
      <color rgb="FF000000"/>
      <name val="Aptos"/>
    </font>
    <font>
      <b/>
      <sz val="11"/>
      <color rgb="FF17365D"/>
      <name val="Aptos"/>
    </font>
    <font>
      <sz val="11"/>
      <color rgb="FF008000"/>
      <name val="Aptos"/>
    </font>
    <font>
      <b/>
      <sz val="9"/>
      <color rgb="FFFFFFFF"/>
      <name val="Aptos"/>
    </font>
    <font>
      <u/>
      <sz val="11"/>
      <name val="Carlito"/>
    </font>
    <font>
      <b/>
      <sz val="11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4472C4"/>
      </patternFill>
    </fill>
    <fill>
      <patternFill patternType="solid">
        <fgColor rgb="FFFFF2CC"/>
      </patternFill>
    </fill>
    <fill>
      <patternFill patternType="solid">
        <fgColor rgb="FFF2F2F2"/>
      </patternFill>
    </fill>
    <fill>
      <patternFill patternType="solid">
        <fgColor rgb="FFE2F0D9"/>
      </patternFill>
    </fill>
    <fill>
      <patternFill patternType="solid">
        <fgColor rgb="FFDDEBF7"/>
      </patternFill>
    </fill>
    <fill>
      <patternFill patternType="solid">
        <fgColor rgb="FFFCE4D6"/>
      </patternFill>
    </fill>
  </fills>
  <borders count="13">
    <border>
      <left/>
      <right/>
      <top/>
      <bottom/>
      <diagonal/>
    </border>
    <border>
      <left/>
      <right style="thin">
        <color rgb="FFD9E2F3"/>
      </right>
      <top/>
      <bottom/>
      <diagonal/>
    </border>
    <border>
      <left style="thin">
        <color rgb="FFD9E2F3"/>
      </left>
      <right style="thin">
        <color rgb="FFD9E2F3"/>
      </right>
      <top/>
      <bottom/>
      <diagonal/>
    </border>
    <border>
      <left style="thin">
        <color rgb="FFD9E2F3"/>
      </left>
      <right/>
      <top/>
      <bottom/>
      <diagonal/>
    </border>
    <border>
      <left/>
      <right style="thin">
        <color rgb="FFD9E2F3"/>
      </right>
      <top/>
      <bottom style="thin">
        <color rgb="FFD9E2F3"/>
      </bottom>
      <diagonal/>
    </border>
    <border>
      <left style="thin">
        <color rgb="FFD9E2F3"/>
      </left>
      <right style="thin">
        <color rgb="FFD9E2F3"/>
      </right>
      <top/>
      <bottom style="thin">
        <color rgb="FFD9E2F3"/>
      </bottom>
      <diagonal/>
    </border>
    <border>
      <left/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/>
      <right style="thin">
        <color rgb="FFD9E2F3"/>
      </right>
      <top style="thin">
        <color rgb="FFD9E2F3"/>
      </top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/>
      <diagonal/>
    </border>
    <border>
      <left style="thin">
        <color rgb="FFD9E2F3"/>
      </left>
      <right/>
      <top/>
      <bottom style="thin">
        <color rgb="FFD9E2F3"/>
      </bottom>
      <diagonal/>
    </border>
    <border>
      <left style="thin">
        <color rgb="FFD9E2F3"/>
      </left>
      <right/>
      <top style="thin">
        <color rgb="FFD9E2F3"/>
      </top>
      <bottom style="thin">
        <color rgb="FFD9E2F3"/>
      </bottom>
      <diagonal/>
    </border>
    <border>
      <left style="thin">
        <color rgb="FFD9E2F3"/>
      </left>
      <right/>
      <top style="thin">
        <color rgb="FFD9E2F3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0" xfId="0" applyFont="1"/>
    <xf numFmtId="0" fontId="3" fillId="0" borderId="6" xfId="0" applyFont="1" applyBorder="1"/>
    <xf numFmtId="0" fontId="8" fillId="0" borderId="0" xfId="0" applyFont="1"/>
    <xf numFmtId="0" fontId="3" fillId="0" borderId="0" xfId="0" applyFont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5" fillId="5" borderId="7" xfId="0" applyNumberFormat="1" applyFont="1" applyFill="1" applyBorder="1" applyAlignment="1">
      <alignment vertical="center"/>
    </xf>
    <xf numFmtId="165" fontId="5" fillId="5" borderId="7" xfId="0" applyNumberFormat="1" applyFont="1" applyFill="1" applyBorder="1" applyAlignment="1">
      <alignment vertical="center"/>
    </xf>
    <xf numFmtId="164" fontId="6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64" fontId="6" fillId="0" borderId="9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5" fontId="5" fillId="5" borderId="9" xfId="0" applyNumberFormat="1" applyFont="1" applyFill="1" applyBorder="1" applyAlignment="1">
      <alignment vertical="center"/>
    </xf>
    <xf numFmtId="0" fontId="7" fillId="6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7" fillId="6" borderId="0" xfId="0" applyFont="1" applyFill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66" fontId="6" fillId="0" borderId="4" xfId="0" applyNumberFormat="1" applyFont="1" applyBorder="1"/>
    <xf numFmtId="166" fontId="6" fillId="0" borderId="5" xfId="0" applyNumberFormat="1" applyFont="1" applyBorder="1"/>
    <xf numFmtId="164" fontId="8" fillId="7" borderId="5" xfId="0" applyNumberFormat="1" applyFont="1" applyFill="1" applyBorder="1"/>
    <xf numFmtId="164" fontId="8" fillId="8" borderId="5" xfId="0" applyNumberFormat="1" applyFont="1" applyFill="1" applyBorder="1"/>
    <xf numFmtId="164" fontId="8" fillId="5" borderId="5" xfId="0" applyNumberFormat="1" applyFont="1" applyFill="1" applyBorder="1"/>
    <xf numFmtId="164" fontId="8" fillId="9" borderId="5" xfId="0" applyNumberFormat="1" applyFont="1" applyFill="1" applyBorder="1"/>
    <xf numFmtId="164" fontId="8" fillId="6" borderId="5" xfId="0" applyNumberFormat="1" applyFont="1" applyFill="1" applyBorder="1"/>
    <xf numFmtId="164" fontId="8" fillId="6" borderId="10" xfId="0" applyNumberFormat="1" applyFont="1" applyFill="1" applyBorder="1"/>
    <xf numFmtId="166" fontId="6" fillId="0" borderId="6" xfId="0" applyNumberFormat="1" applyFont="1" applyBorder="1"/>
    <xf numFmtId="166" fontId="6" fillId="0" borderId="7" xfId="0" applyNumberFormat="1" applyFont="1" applyBorder="1"/>
    <xf numFmtId="164" fontId="8" fillId="7" borderId="7" xfId="0" applyNumberFormat="1" applyFont="1" applyFill="1" applyBorder="1"/>
    <xf numFmtId="164" fontId="8" fillId="8" borderId="7" xfId="0" applyNumberFormat="1" applyFont="1" applyFill="1" applyBorder="1"/>
    <xf numFmtId="164" fontId="8" fillId="5" borderId="7" xfId="0" applyNumberFormat="1" applyFont="1" applyFill="1" applyBorder="1"/>
    <xf numFmtId="164" fontId="8" fillId="9" borderId="7" xfId="0" applyNumberFormat="1" applyFont="1" applyFill="1" applyBorder="1"/>
    <xf numFmtId="164" fontId="8" fillId="6" borderId="7" xfId="0" applyNumberFormat="1" applyFont="1" applyFill="1" applyBorder="1"/>
    <xf numFmtId="164" fontId="8" fillId="6" borderId="11" xfId="0" applyNumberFormat="1" applyFont="1" applyFill="1" applyBorder="1"/>
    <xf numFmtId="166" fontId="6" fillId="0" borderId="8" xfId="0" applyNumberFormat="1" applyFont="1" applyBorder="1"/>
    <xf numFmtId="166" fontId="6" fillId="0" borderId="9" xfId="0" applyNumberFormat="1" applyFont="1" applyBorder="1"/>
    <xf numFmtId="164" fontId="8" fillId="7" borderId="9" xfId="0" applyNumberFormat="1" applyFont="1" applyFill="1" applyBorder="1"/>
    <xf numFmtId="164" fontId="8" fillId="8" borderId="9" xfId="0" applyNumberFormat="1" applyFont="1" applyFill="1" applyBorder="1"/>
    <xf numFmtId="164" fontId="8" fillId="5" borderId="9" xfId="0" applyNumberFormat="1" applyFont="1" applyFill="1" applyBorder="1"/>
    <xf numFmtId="164" fontId="8" fillId="9" borderId="9" xfId="0" applyNumberFormat="1" applyFont="1" applyFill="1" applyBorder="1"/>
    <xf numFmtId="164" fontId="8" fillId="6" borderId="9" xfId="0" applyNumberFormat="1" applyFont="1" applyFill="1" applyBorder="1"/>
    <xf numFmtId="164" fontId="8" fillId="6" borderId="12" xfId="0" applyNumberFormat="1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3" fillId="0" borderId="4" xfId="0" applyFont="1" applyBorder="1"/>
    <xf numFmtId="164" fontId="8" fillId="0" borderId="5" xfId="0" applyNumberFormat="1" applyFont="1" applyBorder="1"/>
    <xf numFmtId="164" fontId="8" fillId="0" borderId="7" xfId="0" applyNumberFormat="1" applyFont="1" applyBorder="1"/>
    <xf numFmtId="0" fontId="3" fillId="7" borderId="4" xfId="0" applyFont="1" applyFill="1" applyBorder="1"/>
    <xf numFmtId="164" fontId="8" fillId="7" borderId="10" xfId="0" applyNumberFormat="1" applyFont="1" applyFill="1" applyBorder="1"/>
    <xf numFmtId="0" fontId="3" fillId="8" borderId="6" xfId="0" applyFont="1" applyFill="1" applyBorder="1"/>
    <xf numFmtId="164" fontId="8" fillId="8" borderId="11" xfId="0" applyNumberFormat="1" applyFont="1" applyFill="1" applyBorder="1"/>
    <xf numFmtId="0" fontId="3" fillId="5" borderId="6" xfId="0" applyFont="1" applyFill="1" applyBorder="1"/>
    <xf numFmtId="164" fontId="8" fillId="5" borderId="11" xfId="0" applyNumberFormat="1" applyFont="1" applyFill="1" applyBorder="1"/>
    <xf numFmtId="0" fontId="3" fillId="9" borderId="8" xfId="0" applyFont="1" applyFill="1" applyBorder="1"/>
    <xf numFmtId="164" fontId="8" fillId="9" borderId="12" xfId="0" applyNumberFormat="1" applyFont="1" applyFill="1" applyBorder="1"/>
    <xf numFmtId="0" fontId="7" fillId="0" borderId="0" xfId="0" applyFont="1" applyAlignment="1">
      <alignment wrapText="1"/>
    </xf>
    <xf numFmtId="0" fontId="4" fillId="2" borderId="0" xfId="0" applyFont="1" applyFill="1"/>
    <xf numFmtId="164" fontId="8" fillId="0" borderId="0" xfId="0" applyNumberFormat="1" applyFont="1"/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8" fillId="0" borderId="5" xfId="0" applyFont="1" applyBorder="1"/>
    <xf numFmtId="0" fontId="3" fillId="0" borderId="10" xfId="0" applyFont="1" applyBorder="1"/>
    <xf numFmtId="0" fontId="8" fillId="0" borderId="7" xfId="0" applyFont="1" applyBorder="1"/>
    <xf numFmtId="0" fontId="3" fillId="0" borderId="11" xfId="0" applyFont="1" applyBorder="1"/>
    <xf numFmtId="166" fontId="8" fillId="0" borderId="7" xfId="0" applyNumberFormat="1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2" xfId="0" applyFont="1" applyBorder="1"/>
    <xf numFmtId="167" fontId="0" fillId="0" borderId="0" xfId="0" applyNumberFormat="1"/>
    <xf numFmtId="167" fontId="10" fillId="0" borderId="0" xfId="0" applyNumberFormat="1" applyFont="1"/>
    <xf numFmtId="0" fontId="11" fillId="0" borderId="0" xfId="0" applyFont="1"/>
    <xf numFmtId="0" fontId="3" fillId="0" borderId="0" xfId="0" applyFont="1" applyAlignment="1">
      <alignment wrapText="1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7" fillId="6" borderId="0" xfId="0" applyFont="1" applyFill="1"/>
    <xf numFmtId="0" fontId="1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9C0006"/>
      </font>
      <fill>
        <patternFill patternType="solid">
          <bgColor rgb="FFFFC7CE"/>
        </patternFill>
      </fill>
    </dxf>
    <dxf>
      <font>
        <b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Cumulative Net Income Over 15 Years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Trade</c:v>
          </c:tx>
          <c:marker>
            <c:symbol val="none"/>
          </c:marker>
          <c:cat>
            <c:numRef>
              <c:f>Summary!$A$18:$A$32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Summary!$B$18:$B$32</c:f>
              <c:numCache>
                <c:formatCode>\$#,##0;[Red]\(\$#,##0\);\-</c:formatCode>
                <c:ptCount val="15"/>
                <c:pt idx="0">
                  <c:v>35000</c:v>
                </c:pt>
                <c:pt idx="1">
                  <c:v>72800</c:v>
                </c:pt>
                <c:pt idx="2">
                  <c:v>113624</c:v>
                </c:pt>
                <c:pt idx="3">
                  <c:v>157713.92000000001</c:v>
                </c:pt>
                <c:pt idx="4">
                  <c:v>220063.92</c:v>
                </c:pt>
                <c:pt idx="5">
                  <c:v>284284.42000000004</c:v>
                </c:pt>
                <c:pt idx="6">
                  <c:v>350431.53500000003</c:v>
                </c:pt>
                <c:pt idx="7">
                  <c:v>418563.06345000002</c:v>
                </c:pt>
                <c:pt idx="8">
                  <c:v>488738.53775350004</c:v>
                </c:pt>
                <c:pt idx="9">
                  <c:v>561019.27628610504</c:v>
                </c:pt>
                <c:pt idx="10">
                  <c:v>635468.4369746882</c:v>
                </c:pt>
                <c:pt idx="11">
                  <c:v>712151.07248392887</c:v>
                </c:pt>
                <c:pt idx="12">
                  <c:v>791134.1870584467</c:v>
                </c:pt>
                <c:pt idx="13">
                  <c:v>872486.79507020011</c:v>
                </c:pt>
                <c:pt idx="14">
                  <c:v>956279.98132230609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008-5E43-8759-579D4158E340}"/>
            </c:ext>
          </c:extLst>
        </c:ser>
        <c:ser>
          <c:idx val="1"/>
          <c:order val="1"/>
          <c:tx>
            <c:v>Good Grad</c:v>
          </c:tx>
          <c:marker>
            <c:symbol val="none"/>
          </c:marker>
          <c:cat>
            <c:numRef>
              <c:f>Summary!$A$18:$A$32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Summary!$C$18:$C$32</c:f>
              <c:numCache>
                <c:formatCode>\$#,##0;[Red]\(\$#,##0\);\-</c:formatCode>
                <c:ptCount val="15"/>
                <c:pt idx="0">
                  <c:v>-14750</c:v>
                </c:pt>
                <c:pt idx="1">
                  <c:v>-29500</c:v>
                </c:pt>
                <c:pt idx="2">
                  <c:v>-44250</c:v>
                </c:pt>
                <c:pt idx="3">
                  <c:v>-59000</c:v>
                </c:pt>
                <c:pt idx="4">
                  <c:v>12809.766541172954</c:v>
                </c:pt>
                <c:pt idx="5">
                  <c:v>88369.533082345908</c:v>
                </c:pt>
                <c:pt idx="6">
                  <c:v>167866.79962351886</c:v>
                </c:pt>
                <c:pt idx="7">
                  <c:v>251498.44116469182</c:v>
                </c:pt>
                <c:pt idx="8">
                  <c:v>339471.1764558648</c:v>
                </c:pt>
                <c:pt idx="9">
                  <c:v>432002.06018453778</c:v>
                </c:pt>
                <c:pt idx="10">
                  <c:v>529318.9997725857</c:v>
                </c:pt>
                <c:pt idx="11">
                  <c:v>631661.29801297747</c:v>
                </c:pt>
                <c:pt idx="12">
                  <c:v>739280.22283833008</c:v>
                </c:pt>
                <c:pt idx="13">
                  <c:v>852439.60557789169</c:v>
                </c:pt>
                <c:pt idx="14">
                  <c:v>971416.46912737272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008-5E43-8759-579D4158E340}"/>
            </c:ext>
          </c:extLst>
        </c:ser>
        <c:ser>
          <c:idx val="2"/>
          <c:order val="2"/>
          <c:tx>
            <c:v>Lower Grad</c:v>
          </c:tx>
          <c:marker>
            <c:symbol val="none"/>
          </c:marker>
          <c:cat>
            <c:numRef>
              <c:f>Summary!$A$18:$A$32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Summary!$D$18:$D$32</c:f>
              <c:numCache>
                <c:formatCode>\$#,##0;[Red]\(\$#,##0\);\-</c:formatCode>
                <c:ptCount val="15"/>
                <c:pt idx="0">
                  <c:v>-14750</c:v>
                </c:pt>
                <c:pt idx="1">
                  <c:v>-29500</c:v>
                </c:pt>
                <c:pt idx="2">
                  <c:v>-44250</c:v>
                </c:pt>
                <c:pt idx="3">
                  <c:v>-59000</c:v>
                </c:pt>
                <c:pt idx="4">
                  <c:v>-10190.233458827053</c:v>
                </c:pt>
                <c:pt idx="5">
                  <c:v>40179.533082345893</c:v>
                </c:pt>
                <c:pt idx="6">
                  <c:v>92156.099623518836</c:v>
                </c:pt>
                <c:pt idx="7">
                  <c:v>145787.67016469178</c:v>
                </c:pt>
                <c:pt idx="8">
                  <c:v>201123.89482586473</c:v>
                </c:pt>
                <c:pt idx="9">
                  <c:v>258215.91323063767</c:v>
                </c:pt>
                <c:pt idx="10">
                  <c:v>317116.3991913186</c:v>
                </c:pt>
                <c:pt idx="11">
                  <c:v>377879.60673458478</c:v>
                </c:pt>
                <c:pt idx="12">
                  <c:v>440561.41750791378</c:v>
                </c:pt>
                <c:pt idx="13">
                  <c:v>505219.38960820745</c:v>
                </c:pt>
                <c:pt idx="14">
                  <c:v>571912.80787527468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008-5E43-8759-579D4158E340}"/>
            </c:ext>
          </c:extLst>
        </c:ser>
        <c:ser>
          <c:idx val="3"/>
          <c:order val="3"/>
          <c:tx>
            <c:v>Degree / Non-College Job</c:v>
          </c:tx>
          <c:marker>
            <c:symbol val="none"/>
          </c:marker>
          <c:cat>
            <c:numRef>
              <c:f>Summary!$A$18:$A$32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Summary!$E$18:$E$32</c:f>
              <c:numCache>
                <c:formatCode>\$#,##0;[Red]\(\$#,##0\);\-</c:formatCode>
                <c:ptCount val="15"/>
                <c:pt idx="0">
                  <c:v>-14750</c:v>
                </c:pt>
                <c:pt idx="1">
                  <c:v>-29500</c:v>
                </c:pt>
                <c:pt idx="2">
                  <c:v>-44250</c:v>
                </c:pt>
                <c:pt idx="3">
                  <c:v>-59000</c:v>
                </c:pt>
                <c:pt idx="4">
                  <c:v>-17190.233458827053</c:v>
                </c:pt>
                <c:pt idx="5">
                  <c:v>25969.533082345893</c:v>
                </c:pt>
                <c:pt idx="6">
                  <c:v>70519.799623518833</c:v>
                </c:pt>
                <c:pt idx="7">
                  <c:v>116502.28116469178</c:v>
                </c:pt>
                <c:pt idx="8">
                  <c:v>163959.94415586471</c:v>
                </c:pt>
                <c:pt idx="9">
                  <c:v>212937.04404053764</c:v>
                </c:pt>
                <c:pt idx="10">
                  <c:v>263479.1639255156</c:v>
                </c:pt>
                <c:pt idx="11">
                  <c:v>315633.25441080768</c:v>
                </c:pt>
                <c:pt idx="12">
                  <c:v>369447.67461442336</c:v>
                </c:pt>
                <c:pt idx="13">
                  <c:v>424972.23442791228</c:v>
                </c:pt>
                <c:pt idx="14">
                  <c:v>482258.23803957069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008-5E43-8759-579D4158E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$#,##0;[Red]\(\$#,##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15-Year Net Income by Path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15-Year Net Income</c:v>
          </c:tx>
          <c:invertIfNegative val="1"/>
          <c:cat>
            <c:strRef>
              <c:f>Summary!$J$25:$J$28</c:f>
              <c:strCache>
                <c:ptCount val="4"/>
                <c:pt idx="0">
                  <c:v>Trade</c:v>
                </c:pt>
                <c:pt idx="1">
                  <c:v>Good Grad</c:v>
                </c:pt>
                <c:pt idx="2">
                  <c:v>Lower Grad</c:v>
                </c:pt>
                <c:pt idx="3">
                  <c:v>Degree / Non-College Job</c:v>
                </c:pt>
              </c:strCache>
            </c:strRef>
          </c:cat>
          <c:val>
            <c:numRef>
              <c:f>Summary!$K$25:$K$28</c:f>
              <c:numCache>
                <c:formatCode>\$#,##0;[Red]\(\$#,##0\);\-</c:formatCode>
                <c:ptCount val="4"/>
                <c:pt idx="0">
                  <c:v>956279.98132230609</c:v>
                </c:pt>
                <c:pt idx="1">
                  <c:v>971416.46912737272</c:v>
                </c:pt>
                <c:pt idx="2">
                  <c:v>571912.80787527468</c:v>
                </c:pt>
                <c:pt idx="3">
                  <c:v>482258.23803957069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6F-A843-92F1-31419C980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$#,##0;[Red]\(\$#,##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5</xdr:row>
      <xdr:rowOff>0</xdr:rowOff>
    </xdr:from>
    <xdr:to>
      <xdr:col>18</xdr:col>
      <xdr:colOff>0</xdr:colOff>
      <xdr:row>21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22</xdr:row>
      <xdr:rowOff>0</xdr:rowOff>
    </xdr:from>
    <xdr:to>
      <xdr:col>18</xdr:col>
      <xdr:colOff>0</xdr:colOff>
      <xdr:row>38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114300</xdr:colOff>
      <xdr:row>63</xdr:row>
      <xdr:rowOff>101600</xdr:rowOff>
    </xdr:to>
    <xdr:sp macro="" textlink="">
      <xdr:nvSpPr>
        <xdr:cNvPr id="2052" name="Text Box 4" hidden="1">
          <a:extLst>
            <a:ext uri="{FF2B5EF4-FFF2-40B4-BE49-F238E27FC236}">
              <a16:creationId xmlns:a16="http://schemas.microsoft.com/office/drawing/2014/main" id="{48E51989-68F4-664A-B80E-D7AFD95D615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114300</xdr:colOff>
      <xdr:row>63</xdr:row>
      <xdr:rowOff>101600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9BBBAE44-D951-CC67-D548-C9044EFB25B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2700000" cy="1270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OpenAI" id="{AB4EE847-FE3D-46AD-AC51-ADB52A1478E7}" userId="" providerId=""/>
</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0" dT="2026-07-24T21:14:06.82" personId="{AB4EE847-FE3D-46AD-AC51-ADB52A1478E7}" id="{7B5A1B4F-688B-14B8-518F-C8EA9B614A39}">
    <text>Source: Federal Student Aid, 2026–27 Direct undergraduate loan rate. Full URL is on Sources &amp; Notes.</text>
  </threadedComment>
  <threadedComment ref="B21" dT="2026-07-24T21:14:06.82" personId="{AB4EE847-FE3D-46AD-AC51-ADB52A1478E7}" id="{F5CF197E-3FBC-07C0-C4AA-11E0FDDF8B26}">
    <text>Source: U.S. Bureau of Labor Statistics, Electricians, 2024 median annual wage. Full URL is on Sources &amp; Notes.</text>
  </threadedComment>
  <threadedComment ref="B26" dT="2026-07-24T21:14:06.82" personId="{AB4EE847-FE3D-46AD-AC51-ADB52A1478E7}" id="{960F697B-09AE-E083-5378-42538FFDC8B7}">
    <text>Illustrative strong graduate outcome benchmarked to the NACE Winter 2026 Salary Survey. Full URL is on Sources &amp; Notes.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49D996-6833-C548-BBDE-C83189B87AE7}">
  <we:reference id="93533c7f-4dc5-468f-aba4-1c008e1a7ac8" version="1.0.0.8" store="EXCatalog" storeType="EXCatalog"/>
  <we:alternateReferences>
    <we:reference id="WA200003101" version="1.0.0.8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showGridLines="0" topLeftCell="A18" zoomScale="180" zoomScaleNormal="180" workbookViewId="0">
      <selection activeCell="F34" sqref="F34"/>
    </sheetView>
  </sheetViews>
  <sheetFormatPr baseColWidth="10" defaultColWidth="8.83203125" defaultRowHeight="14"/>
  <cols>
    <col min="1" max="1" width="35" customWidth="1"/>
    <col min="2" max="8" width="16" customWidth="1"/>
    <col min="10" max="10" width="25" customWidth="1"/>
    <col min="11" max="11" width="18" customWidth="1"/>
  </cols>
  <sheetData>
    <row r="1" spans="1:18" ht="32" customHeight="1">
      <c r="A1" s="94" t="s">
        <v>0</v>
      </c>
      <c r="B1" s="94" t="s">
        <v>0</v>
      </c>
      <c r="C1" s="94" t="s">
        <v>0</v>
      </c>
      <c r="D1" s="94" t="s">
        <v>0</v>
      </c>
      <c r="E1" s="94" t="s">
        <v>0</v>
      </c>
      <c r="F1" s="94" t="s">
        <v>0</v>
      </c>
      <c r="G1" s="94" t="s">
        <v>0</v>
      </c>
      <c r="H1" s="94" t="s">
        <v>0</v>
      </c>
      <c r="I1" s="94" t="s">
        <v>0</v>
      </c>
      <c r="J1" s="94" t="s">
        <v>0</v>
      </c>
      <c r="K1" s="1"/>
      <c r="L1" s="1"/>
      <c r="M1" s="1"/>
      <c r="N1" s="1"/>
      <c r="O1" s="1"/>
      <c r="P1" s="1"/>
      <c r="Q1" s="1"/>
      <c r="R1" s="1"/>
    </row>
    <row r="2" spans="1:18" ht="32" customHeight="1">
      <c r="A2" s="95" t="s">
        <v>1</v>
      </c>
      <c r="B2" s="95" t="s">
        <v>1</v>
      </c>
      <c r="C2" s="95" t="s">
        <v>1</v>
      </c>
      <c r="D2" s="95" t="s">
        <v>1</v>
      </c>
      <c r="E2" s="95" t="s">
        <v>1</v>
      </c>
      <c r="F2" s="95" t="s">
        <v>1</v>
      </c>
      <c r="G2" s="95" t="s">
        <v>1</v>
      </c>
      <c r="H2" s="95" t="s">
        <v>1</v>
      </c>
      <c r="I2" s="95" t="s">
        <v>1</v>
      </c>
      <c r="J2" s="95" t="s">
        <v>1</v>
      </c>
      <c r="K2" s="1"/>
      <c r="L2" s="1"/>
      <c r="M2" s="1"/>
      <c r="N2" s="1"/>
      <c r="O2" s="1"/>
      <c r="P2" s="1"/>
      <c r="Q2" s="1"/>
      <c r="R2" s="1"/>
    </row>
    <row r="3" spans="1:18" ht="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">
      <c r="A4" s="96" t="s">
        <v>2</v>
      </c>
      <c r="B4" s="96" t="s">
        <v>2</v>
      </c>
      <c r="C4" s="96" t="s">
        <v>2</v>
      </c>
      <c r="D4" s="96" t="s">
        <v>2</v>
      </c>
      <c r="E4" s="96" t="s">
        <v>2</v>
      </c>
      <c r="F4" s="96" t="s">
        <v>2</v>
      </c>
      <c r="G4" s="96" t="s">
        <v>2</v>
      </c>
      <c r="H4" s="96" t="s">
        <v>2</v>
      </c>
      <c r="I4" s="96" t="s">
        <v>2</v>
      </c>
      <c r="J4" s="96" t="s">
        <v>2</v>
      </c>
      <c r="K4" s="1"/>
      <c r="L4" s="1"/>
      <c r="M4" s="1"/>
      <c r="N4" s="1"/>
      <c r="O4" s="1"/>
      <c r="P4" s="1"/>
      <c r="Q4" s="1"/>
      <c r="R4" s="1"/>
    </row>
    <row r="5" spans="1:18" ht="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2">
      <c r="A6" s="52" t="s">
        <v>3</v>
      </c>
      <c r="B6" s="53" t="s">
        <v>4</v>
      </c>
      <c r="C6" s="53" t="s">
        <v>5</v>
      </c>
      <c r="D6" s="53" t="s">
        <v>6</v>
      </c>
      <c r="E6" s="53" t="s">
        <v>7</v>
      </c>
      <c r="F6" s="53" t="s">
        <v>8</v>
      </c>
      <c r="G6" s="53" t="s">
        <v>9</v>
      </c>
      <c r="H6" s="54" t="s">
        <v>10</v>
      </c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">
      <c r="A7" s="58" t="s">
        <v>11</v>
      </c>
      <c r="B7" s="30">
        <f>'15-Year Model'!C6</f>
        <v>35000</v>
      </c>
      <c r="C7" s="30">
        <f>'15-Year Model'!C10</f>
        <v>62350</v>
      </c>
      <c r="D7" s="30">
        <f>SUM('15-Year Model'!C6:C20)</f>
        <v>956279.98132230609</v>
      </c>
      <c r="E7" s="30">
        <f>SUM('15-Year Model'!D6:D20)</f>
        <v>0</v>
      </c>
      <c r="F7" s="30">
        <f>'15-Year Model'!F20</f>
        <v>956279.98132230609</v>
      </c>
      <c r="G7" s="30">
        <f>SUM('15-Year Model'!S6:S20)</f>
        <v>759896.9288832132</v>
      </c>
      <c r="H7" s="59">
        <f>0</f>
        <v>0</v>
      </c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">
      <c r="A8" s="60" t="s">
        <v>12</v>
      </c>
      <c r="B8" s="39">
        <f>'15-Year Model'!G6</f>
        <v>-14750</v>
      </c>
      <c r="C8" s="39">
        <f>'15-Year Model'!G10</f>
        <v>75000</v>
      </c>
      <c r="D8" s="39">
        <f>SUM('15-Year Model'!G6:G20)</f>
        <v>1006509.0371744703</v>
      </c>
      <c r="E8" s="39">
        <f>SUM('15-Year Model'!H6:H20)</f>
        <v>35092.568047097571</v>
      </c>
      <c r="F8" s="39">
        <f>'15-Year Model'!J20</f>
        <v>971416.46912737272</v>
      </c>
      <c r="G8" s="39">
        <f>SUM('15-Year Model'!T6:T20)</f>
        <v>724992.84370631282</v>
      </c>
      <c r="H8" s="61">
        <f>F8-$F$7</f>
        <v>15136.48780506663</v>
      </c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">
      <c r="A9" s="62" t="s">
        <v>13</v>
      </c>
      <c r="B9" s="40">
        <f>'15-Year Model'!K6</f>
        <v>-14750</v>
      </c>
      <c r="C9" s="40">
        <f>'15-Year Model'!K10</f>
        <v>52000</v>
      </c>
      <c r="D9" s="40">
        <f>SUM('15-Year Model'!K6:K20)</f>
        <v>607005.37592237233</v>
      </c>
      <c r="E9" s="40">
        <f>SUM('15-Year Model'!L6:L20)</f>
        <v>35092.568047097571</v>
      </c>
      <c r="F9" s="40">
        <f>'15-Year Model'!N20</f>
        <v>571912.80787527468</v>
      </c>
      <c r="G9" s="40">
        <f>SUM('15-Year Model'!U6:U20)</f>
        <v>424729.39402687509</v>
      </c>
      <c r="H9" s="63">
        <f>F9-$F$7</f>
        <v>-384367.17344703141</v>
      </c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">
      <c r="A10" s="64" t="s">
        <v>14</v>
      </c>
      <c r="B10" s="49">
        <f>'15-Year Model'!O6</f>
        <v>-14750</v>
      </c>
      <c r="C10" s="49">
        <f>'15-Year Model'!O10</f>
        <v>45000</v>
      </c>
      <c r="D10" s="49">
        <f>SUM('15-Year Model'!O6:O20)</f>
        <v>517350.80608666834</v>
      </c>
      <c r="E10" s="49">
        <f>SUM('15-Year Model'!P6:P20)</f>
        <v>35092.568047097571</v>
      </c>
      <c r="F10" s="49">
        <f>'15-Year Model'!R20</f>
        <v>482258.23803957069</v>
      </c>
      <c r="G10" s="49">
        <f>SUM('15-Year Model'!V6:V20)</f>
        <v>356315.89133736701</v>
      </c>
      <c r="H10" s="65">
        <f>F10-$F$7</f>
        <v>-474021.74328273541</v>
      </c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">
      <c r="A12" s="97" t="s">
        <v>15</v>
      </c>
      <c r="B12" s="97"/>
      <c r="C12" s="97"/>
      <c r="D12" s="97"/>
      <c r="E12" s="97"/>
      <c r="F12" s="97"/>
      <c r="G12" s="97"/>
      <c r="H12" s="97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6">
      <c r="A13" s="66" t="s">
        <v>16</v>
      </c>
      <c r="B13" s="93" t="s">
        <v>17</v>
      </c>
      <c r="C13" s="93"/>
      <c r="D13" s="93"/>
      <c r="E13" s="93"/>
      <c r="F13" s="93"/>
      <c r="G13" s="93"/>
      <c r="H13" s="93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6">
      <c r="A14" s="66" t="s">
        <v>18</v>
      </c>
      <c r="B14" s="93" t="s">
        <v>19</v>
      </c>
      <c r="C14" s="93"/>
      <c r="D14" s="93"/>
      <c r="E14" s="93"/>
      <c r="F14" s="93"/>
      <c r="G14" s="93"/>
      <c r="H14" s="93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">
      <c r="A17" s="67" t="s">
        <v>20</v>
      </c>
      <c r="B17" s="67" t="s">
        <v>21</v>
      </c>
      <c r="C17" s="67" t="s">
        <v>22</v>
      </c>
      <c r="D17" s="67" t="s">
        <v>23</v>
      </c>
      <c r="E17" s="67" t="s">
        <v>24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">
      <c r="A18" s="3">
        <f>'15-Year Model'!A6</f>
        <v>1</v>
      </c>
      <c r="B18" s="68">
        <f>'15-Year Model'!F6</f>
        <v>35000</v>
      </c>
      <c r="C18" s="68">
        <f>'15-Year Model'!J6</f>
        <v>-14750</v>
      </c>
      <c r="D18" s="68">
        <f>'15-Year Model'!N6</f>
        <v>-14750</v>
      </c>
      <c r="E18" s="68">
        <f>'15-Year Model'!R6</f>
        <v>-14750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">
      <c r="A19" s="3">
        <f>'15-Year Model'!A7</f>
        <v>2</v>
      </c>
      <c r="B19" s="68">
        <f>'15-Year Model'!F7</f>
        <v>72800</v>
      </c>
      <c r="C19" s="68">
        <f>'15-Year Model'!J7</f>
        <v>-29500</v>
      </c>
      <c r="D19" s="68">
        <f>'15-Year Model'!N7</f>
        <v>-29500</v>
      </c>
      <c r="E19" s="68">
        <f>'15-Year Model'!R7</f>
        <v>-29500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">
      <c r="A20" s="3">
        <f>'15-Year Model'!A8</f>
        <v>3</v>
      </c>
      <c r="B20" s="68">
        <f>'15-Year Model'!F8</f>
        <v>113624</v>
      </c>
      <c r="C20" s="68">
        <f>'15-Year Model'!J8</f>
        <v>-44250</v>
      </c>
      <c r="D20" s="68">
        <f>'15-Year Model'!N8</f>
        <v>-44250</v>
      </c>
      <c r="E20" s="68">
        <f>'15-Year Model'!R8</f>
        <v>-44250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">
      <c r="A21" s="3">
        <f>'15-Year Model'!A9</f>
        <v>4</v>
      </c>
      <c r="B21" s="68">
        <f>'15-Year Model'!F9</f>
        <v>157713.92000000001</v>
      </c>
      <c r="C21" s="68">
        <f>'15-Year Model'!J9</f>
        <v>-59000</v>
      </c>
      <c r="D21" s="68">
        <f>'15-Year Model'!N9</f>
        <v>-59000</v>
      </c>
      <c r="E21" s="68">
        <f>'15-Year Model'!R9</f>
        <v>-59000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">
      <c r="A22" s="3">
        <f>'15-Year Model'!A10</f>
        <v>5</v>
      </c>
      <c r="B22" s="68">
        <f>'15-Year Model'!F10</f>
        <v>220063.92</v>
      </c>
      <c r="C22" s="68">
        <f>'15-Year Model'!J10</f>
        <v>12809.766541172954</v>
      </c>
      <c r="D22" s="68">
        <f>'15-Year Model'!N10</f>
        <v>-10190.233458827053</v>
      </c>
      <c r="E22" s="68">
        <f>'15-Year Model'!R10</f>
        <v>-17190.233458827053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">
      <c r="A23" s="3">
        <f>'15-Year Model'!A11</f>
        <v>6</v>
      </c>
      <c r="B23" s="68">
        <f>'15-Year Model'!F11</f>
        <v>284284.42000000004</v>
      </c>
      <c r="C23" s="68">
        <f>'15-Year Model'!J11</f>
        <v>88369.533082345908</v>
      </c>
      <c r="D23" s="68">
        <f>'15-Year Model'!N11</f>
        <v>40179.533082345893</v>
      </c>
      <c r="E23" s="68">
        <f>'15-Year Model'!R11</f>
        <v>25969.533082345893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">
      <c r="A24" s="3">
        <f>'15-Year Model'!A12</f>
        <v>7</v>
      </c>
      <c r="B24" s="68">
        <f>'15-Year Model'!F12</f>
        <v>350431.53500000003</v>
      </c>
      <c r="C24" s="68">
        <f>'15-Year Model'!J12</f>
        <v>167866.79962351886</v>
      </c>
      <c r="D24" s="68">
        <f>'15-Year Model'!N12</f>
        <v>92156.099623518836</v>
      </c>
      <c r="E24" s="68">
        <f>'15-Year Model'!R12</f>
        <v>70519.799623518833</v>
      </c>
      <c r="F24" s="1"/>
      <c r="G24" s="1"/>
      <c r="H24" s="1"/>
      <c r="I24" s="1"/>
      <c r="J24" s="67" t="s">
        <v>3</v>
      </c>
      <c r="K24" s="67" t="s">
        <v>25</v>
      </c>
      <c r="L24" s="1"/>
      <c r="M24" s="1"/>
      <c r="N24" s="1"/>
      <c r="O24" s="1"/>
      <c r="P24" s="1"/>
      <c r="Q24" s="1"/>
      <c r="R24" s="1"/>
    </row>
    <row r="25" spans="1:18" ht="15">
      <c r="A25" s="3">
        <f>'15-Year Model'!A13</f>
        <v>8</v>
      </c>
      <c r="B25" s="68">
        <f>'15-Year Model'!F13</f>
        <v>418563.06345000002</v>
      </c>
      <c r="C25" s="68">
        <f>'15-Year Model'!J13</f>
        <v>251498.44116469182</v>
      </c>
      <c r="D25" s="68">
        <f>'15-Year Model'!N13</f>
        <v>145787.67016469178</v>
      </c>
      <c r="E25" s="68">
        <f>'15-Year Model'!R13</f>
        <v>116502.28116469178</v>
      </c>
      <c r="F25" s="1"/>
      <c r="G25" s="1"/>
      <c r="H25" s="1"/>
      <c r="I25" s="1"/>
      <c r="J25" s="1" t="s">
        <v>21</v>
      </c>
      <c r="K25" s="68">
        <f>F7</f>
        <v>956279.98132230609</v>
      </c>
      <c r="L25" s="1"/>
      <c r="M25" s="1"/>
      <c r="N25" s="1"/>
      <c r="O25" s="1"/>
      <c r="P25" s="1"/>
      <c r="Q25" s="1"/>
      <c r="R25" s="1"/>
    </row>
    <row r="26" spans="1:18" ht="15">
      <c r="A26" s="3">
        <f>'15-Year Model'!A14</f>
        <v>9</v>
      </c>
      <c r="B26" s="68">
        <f>'15-Year Model'!F14</f>
        <v>488738.53775350004</v>
      </c>
      <c r="C26" s="68">
        <f>'15-Year Model'!J14</f>
        <v>339471.1764558648</v>
      </c>
      <c r="D26" s="68">
        <f>'15-Year Model'!N14</f>
        <v>201123.89482586473</v>
      </c>
      <c r="E26" s="68">
        <f>'15-Year Model'!R14</f>
        <v>163959.94415586471</v>
      </c>
      <c r="F26" s="1"/>
      <c r="G26" s="1"/>
      <c r="H26" s="1"/>
      <c r="I26" s="1"/>
      <c r="J26" s="1" t="s">
        <v>22</v>
      </c>
      <c r="K26" s="68">
        <f>F8</f>
        <v>971416.46912737272</v>
      </c>
      <c r="L26" s="1"/>
      <c r="M26" s="1"/>
      <c r="N26" s="1"/>
      <c r="O26" s="1"/>
      <c r="P26" s="1"/>
      <c r="Q26" s="1"/>
      <c r="R26" s="1"/>
    </row>
    <row r="27" spans="1:18" ht="15">
      <c r="A27" s="3">
        <f>'15-Year Model'!A15</f>
        <v>10</v>
      </c>
      <c r="B27" s="68">
        <f>'15-Year Model'!F15</f>
        <v>561019.27628610504</v>
      </c>
      <c r="C27" s="68">
        <f>'15-Year Model'!J15</f>
        <v>432002.06018453778</v>
      </c>
      <c r="D27" s="68">
        <f>'15-Year Model'!N15</f>
        <v>258215.91323063767</v>
      </c>
      <c r="E27" s="68">
        <f>'15-Year Model'!R15</f>
        <v>212937.04404053764</v>
      </c>
      <c r="F27" s="1"/>
      <c r="G27" s="1"/>
      <c r="H27" s="1"/>
      <c r="I27" s="1"/>
      <c r="J27" s="1" t="s">
        <v>23</v>
      </c>
      <c r="K27" s="68">
        <f>F9</f>
        <v>571912.80787527468</v>
      </c>
      <c r="L27" s="1"/>
      <c r="M27" s="1"/>
      <c r="N27" s="1"/>
      <c r="O27" s="1"/>
      <c r="P27" s="1"/>
      <c r="Q27" s="1"/>
      <c r="R27" s="1"/>
    </row>
    <row r="28" spans="1:18" ht="15">
      <c r="A28" s="3">
        <f>'15-Year Model'!A16</f>
        <v>11</v>
      </c>
      <c r="B28" s="68">
        <f>'15-Year Model'!F16</f>
        <v>635468.4369746882</v>
      </c>
      <c r="C28" s="68">
        <f>'15-Year Model'!J16</f>
        <v>529318.9997725857</v>
      </c>
      <c r="D28" s="68">
        <f>'15-Year Model'!N16</f>
        <v>317116.3991913186</v>
      </c>
      <c r="E28" s="68">
        <f>'15-Year Model'!R16</f>
        <v>263479.1639255156</v>
      </c>
      <c r="F28" s="1"/>
      <c r="G28" s="1"/>
      <c r="H28" s="1"/>
      <c r="I28" s="1"/>
      <c r="J28" s="1" t="s">
        <v>24</v>
      </c>
      <c r="K28" s="68">
        <f>F10</f>
        <v>482258.23803957069</v>
      </c>
      <c r="L28" s="1"/>
      <c r="M28" s="1"/>
      <c r="N28" s="1"/>
      <c r="O28" s="1"/>
      <c r="P28" s="1"/>
      <c r="Q28" s="1"/>
      <c r="R28" s="1"/>
    </row>
    <row r="29" spans="1:18" ht="15">
      <c r="A29" s="3">
        <f>'15-Year Model'!A17</f>
        <v>12</v>
      </c>
      <c r="B29" s="68">
        <f>'15-Year Model'!F17</f>
        <v>712151.07248392887</v>
      </c>
      <c r="C29" s="68">
        <f>'15-Year Model'!J17</f>
        <v>631661.29801297747</v>
      </c>
      <c r="D29" s="68">
        <f>'15-Year Model'!N17</f>
        <v>377879.60673458478</v>
      </c>
      <c r="E29" s="68">
        <f>'15-Year Model'!R17</f>
        <v>315633.25441080768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>
      <c r="A30" s="3">
        <f>'15-Year Model'!A18</f>
        <v>13</v>
      </c>
      <c r="B30" s="68">
        <f>'15-Year Model'!F18</f>
        <v>791134.1870584467</v>
      </c>
      <c r="C30" s="68">
        <f>'15-Year Model'!J18</f>
        <v>739280.22283833008</v>
      </c>
      <c r="D30" s="68">
        <f>'15-Year Model'!N18</f>
        <v>440561.41750791378</v>
      </c>
      <c r="E30" s="68">
        <f>'15-Year Model'!R18</f>
        <v>369447.67461442336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>
      <c r="A31" s="3">
        <f>'15-Year Model'!A19</f>
        <v>14</v>
      </c>
      <c r="B31" s="68">
        <f>'15-Year Model'!F19</f>
        <v>872486.79507020011</v>
      </c>
      <c r="C31" s="68">
        <f>'15-Year Model'!J19</f>
        <v>852439.60557789169</v>
      </c>
      <c r="D31" s="68">
        <f>'15-Year Model'!N19</f>
        <v>505219.38960820745</v>
      </c>
      <c r="E31" s="68">
        <f>'15-Year Model'!R19</f>
        <v>424972.23442791228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>
      <c r="A32" s="3">
        <f>'15-Year Model'!A20</f>
        <v>15</v>
      </c>
      <c r="B32" s="68">
        <f>'15-Year Model'!F20</f>
        <v>956279.98132230609</v>
      </c>
      <c r="C32" s="68">
        <f>'15-Year Model'!J20</f>
        <v>971416.46912737272</v>
      </c>
      <c r="D32" s="68">
        <f>'15-Year Model'!N20</f>
        <v>571912.80787527468</v>
      </c>
      <c r="E32" s="68">
        <f>'15-Year Model'!R20</f>
        <v>482258.23803957069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</sheetData>
  <mergeCells count="6">
    <mergeCell ref="B14:H14"/>
    <mergeCell ref="A1:J1"/>
    <mergeCell ref="A2:J2"/>
    <mergeCell ref="A4:J4"/>
    <mergeCell ref="A12:H12"/>
    <mergeCell ref="B13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1"/>
  <sheetViews>
    <sheetView showGridLines="0" tabSelected="1" topLeftCell="A2" zoomScale="160" zoomScaleNormal="160" workbookViewId="0">
      <selection activeCell="B48" sqref="B48"/>
    </sheetView>
  </sheetViews>
  <sheetFormatPr baseColWidth="10" defaultColWidth="8.83203125" defaultRowHeight="14"/>
  <cols>
    <col min="1" max="1" width="39" customWidth="1"/>
    <col min="2" max="2" width="16" customWidth="1"/>
    <col min="3" max="3" width="14" customWidth="1"/>
    <col min="4" max="4" width="52" customWidth="1"/>
  </cols>
  <sheetData>
    <row r="1" spans="1:4" ht="32" customHeight="1">
      <c r="A1" s="94" t="s">
        <v>26</v>
      </c>
      <c r="B1" s="94" t="s">
        <v>26</v>
      </c>
      <c r="C1" s="94" t="s">
        <v>26</v>
      </c>
      <c r="D1" s="98" t="s">
        <v>26</v>
      </c>
    </row>
    <row r="2" spans="1:4" ht="32" customHeight="1">
      <c r="A2" s="95" t="s">
        <v>27</v>
      </c>
      <c r="B2" s="95" t="s">
        <v>27</v>
      </c>
      <c r="C2" s="95" t="s">
        <v>27</v>
      </c>
      <c r="D2" s="95" t="s">
        <v>27</v>
      </c>
    </row>
    <row r="3" spans="1:4" ht="15">
      <c r="A3" s="4"/>
      <c r="B3" s="4"/>
      <c r="C3" s="4"/>
      <c r="D3" s="20"/>
    </row>
    <row r="4" spans="1:4" ht="15">
      <c r="A4" s="96" t="s">
        <v>28</v>
      </c>
      <c r="B4" s="96" t="s">
        <v>28</v>
      </c>
      <c r="C4" s="96" t="s">
        <v>28</v>
      </c>
      <c r="D4" s="99" t="s">
        <v>28</v>
      </c>
    </row>
    <row r="5" spans="1:4" ht="16">
      <c r="A5" s="5" t="s">
        <v>29</v>
      </c>
      <c r="B5" s="6" t="s">
        <v>30</v>
      </c>
      <c r="C5" s="6" t="s">
        <v>31</v>
      </c>
      <c r="D5" s="21" t="s">
        <v>32</v>
      </c>
    </row>
    <row r="6" spans="1:4" ht="16">
      <c r="A6" s="7" t="s">
        <v>33</v>
      </c>
      <c r="B6" s="8">
        <v>15</v>
      </c>
      <c r="C6" s="9" t="s">
        <v>34</v>
      </c>
      <c r="D6" s="22" t="s">
        <v>35</v>
      </c>
    </row>
    <row r="7" spans="1:4" ht="16">
      <c r="A7" s="7" t="s">
        <v>36</v>
      </c>
      <c r="B7" s="8">
        <v>4</v>
      </c>
      <c r="C7" s="9" t="s">
        <v>34</v>
      </c>
      <c r="D7" s="22" t="s">
        <v>37</v>
      </c>
    </row>
    <row r="8" spans="1:4" ht="16">
      <c r="A8" s="7" t="s">
        <v>182</v>
      </c>
      <c r="B8" s="10">
        <f>B49</f>
        <v>-14750</v>
      </c>
      <c r="C8" s="9" t="s">
        <v>38</v>
      </c>
      <c r="D8" s="22" t="s">
        <v>39</v>
      </c>
    </row>
    <row r="9" spans="1:4" ht="16">
      <c r="A9" s="7" t="s">
        <v>40</v>
      </c>
      <c r="B9" s="10">
        <v>25000</v>
      </c>
      <c r="C9" s="9" t="s">
        <v>41</v>
      </c>
      <c r="D9" s="22" t="s">
        <v>42</v>
      </c>
    </row>
    <row r="10" spans="1:4" ht="16">
      <c r="A10" s="7" t="s">
        <v>43</v>
      </c>
      <c r="B10" s="11">
        <v>6.5199999999999994E-2</v>
      </c>
      <c r="C10" s="9" t="s">
        <v>44</v>
      </c>
      <c r="D10" s="22" t="s">
        <v>45</v>
      </c>
    </row>
    <row r="11" spans="1:4" ht="16">
      <c r="A11" s="7" t="s">
        <v>46</v>
      </c>
      <c r="B11" s="8">
        <v>11</v>
      </c>
      <c r="C11" s="9" t="s">
        <v>34</v>
      </c>
      <c r="D11" s="22" t="s">
        <v>47</v>
      </c>
    </row>
    <row r="12" spans="1:4" ht="16">
      <c r="A12" s="7" t="s">
        <v>48</v>
      </c>
      <c r="B12" s="11">
        <v>0.03</v>
      </c>
      <c r="C12" s="9" t="s">
        <v>44</v>
      </c>
      <c r="D12" s="22" t="s">
        <v>49</v>
      </c>
    </row>
    <row r="13" spans="1:4" ht="15">
      <c r="A13" s="7"/>
      <c r="B13" s="9"/>
      <c r="C13" s="9"/>
      <c r="D13" s="22"/>
    </row>
    <row r="14" spans="1:4" ht="16">
      <c r="A14" s="7" t="s">
        <v>50</v>
      </c>
      <c r="B14" s="12">
        <f>-PMT(B10/12,B11*12,B9)</f>
        <v>265.85278823558764</v>
      </c>
      <c r="C14" s="9" t="s">
        <v>51</v>
      </c>
      <c r="D14" s="22" t="s">
        <v>52</v>
      </c>
    </row>
    <row r="15" spans="1:4" ht="16">
      <c r="A15" s="13" t="s">
        <v>53</v>
      </c>
      <c r="B15" s="14">
        <f>B14*12</f>
        <v>3190.2334588270514</v>
      </c>
      <c r="C15" s="15" t="s">
        <v>38</v>
      </c>
      <c r="D15" s="23" t="s">
        <v>54</v>
      </c>
    </row>
    <row r="16" spans="1:4" ht="15">
      <c r="A16" s="4"/>
      <c r="B16" s="4"/>
      <c r="C16" s="4"/>
      <c r="D16" s="20"/>
    </row>
    <row r="17" spans="1:4" ht="15">
      <c r="A17" s="96" t="s">
        <v>55</v>
      </c>
      <c r="B17" s="96" t="s">
        <v>55</v>
      </c>
      <c r="C17" s="96" t="s">
        <v>55</v>
      </c>
      <c r="D17" s="99" t="s">
        <v>55</v>
      </c>
    </row>
    <row r="18" spans="1:4" ht="16">
      <c r="A18" s="5" t="s">
        <v>29</v>
      </c>
      <c r="B18" s="6" t="s">
        <v>30</v>
      </c>
      <c r="C18" s="6" t="s">
        <v>31</v>
      </c>
      <c r="D18" s="21" t="s">
        <v>32</v>
      </c>
    </row>
    <row r="19" spans="1:4" ht="16">
      <c r="A19" s="7" t="s">
        <v>56</v>
      </c>
      <c r="B19" s="10">
        <v>35000</v>
      </c>
      <c r="C19" s="9" t="s">
        <v>38</v>
      </c>
      <c r="D19" s="22" t="s">
        <v>57</v>
      </c>
    </row>
    <row r="20" spans="1:4" ht="16">
      <c r="A20" s="7" t="s">
        <v>58</v>
      </c>
      <c r="B20" s="11">
        <v>0.08</v>
      </c>
      <c r="C20" s="9" t="s">
        <v>44</v>
      </c>
      <c r="D20" s="22" t="s">
        <v>59</v>
      </c>
    </row>
    <row r="21" spans="1:4" ht="16">
      <c r="A21" s="7" t="s">
        <v>60</v>
      </c>
      <c r="B21" s="10">
        <v>62350</v>
      </c>
      <c r="C21" s="9" t="s">
        <v>38</v>
      </c>
      <c r="D21" s="22" t="s">
        <v>61</v>
      </c>
    </row>
    <row r="22" spans="1:4" ht="16">
      <c r="A22" s="13" t="s">
        <v>62</v>
      </c>
      <c r="B22" s="16">
        <v>0.03</v>
      </c>
      <c r="C22" s="15" t="s">
        <v>44</v>
      </c>
      <c r="D22" s="23" t="s">
        <v>63</v>
      </c>
    </row>
    <row r="23" spans="1:4" ht="15">
      <c r="A23" s="4"/>
      <c r="B23" s="4"/>
      <c r="C23" s="4"/>
      <c r="D23" s="20"/>
    </row>
    <row r="24" spans="1:4" ht="15">
      <c r="A24" s="96" t="s">
        <v>64</v>
      </c>
      <c r="B24" s="96" t="s">
        <v>64</v>
      </c>
      <c r="C24" s="96" t="s">
        <v>64</v>
      </c>
      <c r="D24" s="99" t="s">
        <v>64</v>
      </c>
    </row>
    <row r="25" spans="1:4" ht="16">
      <c r="A25" s="5" t="s">
        <v>65</v>
      </c>
      <c r="B25" s="6" t="s">
        <v>30</v>
      </c>
      <c r="C25" s="6" t="s">
        <v>31</v>
      </c>
      <c r="D25" s="21" t="s">
        <v>32</v>
      </c>
    </row>
    <row r="26" spans="1:4" ht="32">
      <c r="A26" s="7" t="s">
        <v>66</v>
      </c>
      <c r="B26" s="10">
        <v>75000</v>
      </c>
      <c r="C26" s="9" t="s">
        <v>38</v>
      </c>
      <c r="D26" s="22" t="s">
        <v>67</v>
      </c>
    </row>
    <row r="27" spans="1:4" ht="16">
      <c r="A27" s="7" t="s">
        <v>68</v>
      </c>
      <c r="B27" s="11">
        <v>0.05</v>
      </c>
      <c r="C27" s="9" t="s">
        <v>44</v>
      </c>
      <c r="D27" s="22" t="s">
        <v>69</v>
      </c>
    </row>
    <row r="28" spans="1:4" ht="15">
      <c r="A28" s="7"/>
      <c r="B28" s="9"/>
      <c r="C28" s="9"/>
      <c r="D28" s="22"/>
    </row>
    <row r="29" spans="1:4" ht="16">
      <c r="A29" s="7" t="s">
        <v>70</v>
      </c>
      <c r="B29" s="10">
        <v>52000</v>
      </c>
      <c r="C29" s="9" t="s">
        <v>38</v>
      </c>
      <c r="D29" s="22" t="s">
        <v>71</v>
      </c>
    </row>
    <row r="30" spans="1:4" ht="16">
      <c r="A30" s="7" t="s">
        <v>72</v>
      </c>
      <c r="B30" s="11">
        <v>0.03</v>
      </c>
      <c r="C30" s="9" t="s">
        <v>44</v>
      </c>
      <c r="D30" s="22" t="s">
        <v>73</v>
      </c>
    </row>
    <row r="31" spans="1:4" ht="15">
      <c r="A31" s="7"/>
      <c r="B31" s="9"/>
      <c r="C31" s="9"/>
      <c r="D31" s="22"/>
    </row>
    <row r="32" spans="1:4" ht="16">
      <c r="A32" s="7" t="s">
        <v>74</v>
      </c>
      <c r="B32" s="10">
        <v>45000</v>
      </c>
      <c r="C32" s="9" t="s">
        <v>38</v>
      </c>
      <c r="D32" s="22" t="s">
        <v>75</v>
      </c>
    </row>
    <row r="33" spans="1:4" ht="16">
      <c r="A33" s="7" t="s">
        <v>76</v>
      </c>
      <c r="B33" s="11">
        <v>0.03</v>
      </c>
      <c r="C33" s="9" t="s">
        <v>44</v>
      </c>
      <c r="D33" s="22" t="s">
        <v>73</v>
      </c>
    </row>
    <row r="34" spans="1:4" ht="15">
      <c r="A34" s="13"/>
      <c r="B34" s="15"/>
      <c r="C34" s="15"/>
      <c r="D34" s="23"/>
    </row>
    <row r="35" spans="1:4" ht="15">
      <c r="A35" s="4"/>
      <c r="B35" s="4"/>
      <c r="C35" s="4"/>
      <c r="D35" s="20"/>
    </row>
    <row r="36" spans="1:4" ht="15">
      <c r="A36" s="17" t="s">
        <v>77</v>
      </c>
      <c r="B36" s="17" t="s">
        <v>78</v>
      </c>
      <c r="C36" s="17"/>
      <c r="D36" s="24"/>
    </row>
    <row r="37" spans="1:4" ht="15">
      <c r="A37" s="18" t="s">
        <v>79</v>
      </c>
      <c r="B37" s="4" t="s">
        <v>80</v>
      </c>
      <c r="C37" s="4"/>
      <c r="D37" s="20"/>
    </row>
    <row r="38" spans="1:4" ht="15">
      <c r="A38" s="19" t="s">
        <v>81</v>
      </c>
      <c r="B38" s="4" t="s">
        <v>82</v>
      </c>
      <c r="C38" s="4"/>
      <c r="D38" s="20"/>
    </row>
    <row r="45" spans="1:4" ht="15">
      <c r="A45" s="92" t="s">
        <v>183</v>
      </c>
    </row>
    <row r="46" spans="1:4">
      <c r="A46" t="s">
        <v>178</v>
      </c>
      <c r="B46" s="90">
        <v>-30000</v>
      </c>
    </row>
    <row r="47" spans="1:4">
      <c r="A47" t="s">
        <v>179</v>
      </c>
      <c r="B47" s="90">
        <v>9000</v>
      </c>
    </row>
    <row r="48" spans="1:4">
      <c r="A48" t="s">
        <v>180</v>
      </c>
      <c r="B48" s="91">
        <f>B9/4</f>
        <v>6250</v>
      </c>
    </row>
    <row r="49" spans="1:2">
      <c r="A49" t="s">
        <v>181</v>
      </c>
      <c r="B49" s="90">
        <f>SUM(B46:B48)</f>
        <v>-14750</v>
      </c>
    </row>
    <row r="50" spans="1:2">
      <c r="B50" s="90"/>
    </row>
    <row r="51" spans="1:2">
      <c r="B51" s="90"/>
    </row>
  </sheetData>
  <mergeCells count="5">
    <mergeCell ref="A1:D1"/>
    <mergeCell ref="A2:D2"/>
    <mergeCell ref="A4:D4"/>
    <mergeCell ref="A17:D17"/>
    <mergeCell ref="A24:D24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0"/>
  <sheetViews>
    <sheetView showGridLines="0" workbookViewId="0">
      <selection sqref="A1:V1"/>
    </sheetView>
  </sheetViews>
  <sheetFormatPr baseColWidth="10" defaultColWidth="8.83203125" defaultRowHeight="14"/>
  <cols>
    <col min="1" max="2" width="8" customWidth="1"/>
    <col min="3" max="22" width="15" customWidth="1"/>
  </cols>
  <sheetData>
    <row r="1" spans="1:22" ht="32" customHeight="1">
      <c r="A1" s="94" t="s">
        <v>83</v>
      </c>
      <c r="B1" s="94" t="s">
        <v>83</v>
      </c>
      <c r="C1" s="94" t="s">
        <v>83</v>
      </c>
      <c r="D1" s="94" t="s">
        <v>83</v>
      </c>
      <c r="E1" s="94" t="s">
        <v>83</v>
      </c>
      <c r="F1" s="94" t="s">
        <v>83</v>
      </c>
      <c r="G1" s="94" t="s">
        <v>83</v>
      </c>
      <c r="H1" s="94" t="s">
        <v>83</v>
      </c>
      <c r="I1" s="94" t="s">
        <v>83</v>
      </c>
      <c r="J1" s="94" t="s">
        <v>83</v>
      </c>
      <c r="K1" s="94" t="s">
        <v>83</v>
      </c>
      <c r="L1" s="94" t="s">
        <v>83</v>
      </c>
      <c r="M1" s="94" t="s">
        <v>83</v>
      </c>
      <c r="N1" s="94" t="s">
        <v>83</v>
      </c>
      <c r="O1" s="94" t="s">
        <v>83</v>
      </c>
      <c r="P1" s="94" t="s">
        <v>83</v>
      </c>
      <c r="Q1" s="94" t="s">
        <v>83</v>
      </c>
      <c r="R1" s="94" t="s">
        <v>83</v>
      </c>
      <c r="S1" s="94" t="s">
        <v>83</v>
      </c>
      <c r="T1" s="94" t="s">
        <v>83</v>
      </c>
      <c r="U1" s="94" t="s">
        <v>83</v>
      </c>
      <c r="V1" s="94" t="s">
        <v>83</v>
      </c>
    </row>
    <row r="2" spans="1:22" ht="32" customHeight="1">
      <c r="A2" s="95" t="s">
        <v>84</v>
      </c>
      <c r="B2" s="95" t="s">
        <v>84</v>
      </c>
      <c r="C2" s="95" t="s">
        <v>84</v>
      </c>
      <c r="D2" s="95" t="s">
        <v>84</v>
      </c>
      <c r="E2" s="95" t="s">
        <v>84</v>
      </c>
      <c r="F2" s="95" t="s">
        <v>84</v>
      </c>
      <c r="G2" s="95" t="s">
        <v>84</v>
      </c>
      <c r="H2" s="95" t="s">
        <v>84</v>
      </c>
      <c r="I2" s="95" t="s">
        <v>84</v>
      </c>
      <c r="J2" s="95" t="s">
        <v>84</v>
      </c>
      <c r="K2" s="95" t="s">
        <v>84</v>
      </c>
      <c r="L2" s="95" t="s">
        <v>84</v>
      </c>
      <c r="M2" s="95" t="s">
        <v>84</v>
      </c>
      <c r="N2" s="95" t="s">
        <v>84</v>
      </c>
      <c r="O2" s="95" t="s">
        <v>84</v>
      </c>
      <c r="P2" s="95" t="s">
        <v>84</v>
      </c>
      <c r="Q2" s="95" t="s">
        <v>84</v>
      </c>
      <c r="R2" s="95" t="s">
        <v>84</v>
      </c>
      <c r="S2" s="95" t="s">
        <v>84</v>
      </c>
      <c r="T2" s="95" t="s">
        <v>84</v>
      </c>
      <c r="U2" s="95" t="s">
        <v>84</v>
      </c>
      <c r="V2" s="95" t="s">
        <v>84</v>
      </c>
    </row>
    <row r="3" spans="1:22" ht="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4" customHeight="1">
      <c r="A5" s="25" t="s">
        <v>20</v>
      </c>
      <c r="B5" s="26" t="s">
        <v>85</v>
      </c>
      <c r="C5" s="26" t="s">
        <v>86</v>
      </c>
      <c r="D5" s="26" t="s">
        <v>87</v>
      </c>
      <c r="E5" s="26" t="s">
        <v>88</v>
      </c>
      <c r="F5" s="26" t="s">
        <v>89</v>
      </c>
      <c r="G5" s="26" t="s">
        <v>90</v>
      </c>
      <c r="H5" s="26" t="s">
        <v>91</v>
      </c>
      <c r="I5" s="26" t="s">
        <v>92</v>
      </c>
      <c r="J5" s="26" t="s">
        <v>93</v>
      </c>
      <c r="K5" s="26" t="s">
        <v>94</v>
      </c>
      <c r="L5" s="26" t="s">
        <v>95</v>
      </c>
      <c r="M5" s="26" t="s">
        <v>96</v>
      </c>
      <c r="N5" s="26" t="s">
        <v>97</v>
      </c>
      <c r="O5" s="26" t="s">
        <v>98</v>
      </c>
      <c r="P5" s="26" t="s">
        <v>99</v>
      </c>
      <c r="Q5" s="26" t="s">
        <v>100</v>
      </c>
      <c r="R5" s="26" t="s">
        <v>101</v>
      </c>
      <c r="S5" s="26" t="s">
        <v>102</v>
      </c>
      <c r="T5" s="26" t="s">
        <v>103</v>
      </c>
      <c r="U5" s="26" t="s">
        <v>104</v>
      </c>
      <c r="V5" s="27" t="s">
        <v>105</v>
      </c>
    </row>
    <row r="6" spans="1:22" ht="15">
      <c r="A6" s="28">
        <v>1</v>
      </c>
      <c r="B6" s="29">
        <f t="shared" ref="B6:B20" si="0">17+A6</f>
        <v>18</v>
      </c>
      <c r="C6" s="30">
        <f>IF($A6&lt;=Assumptions!$B$7,Assumptions!$B$19*(1+Assumptions!$B$20)^($A6-1),Assumptions!$B$21*(1+Assumptions!$B$22)^($A6-Assumptions!$B$7-1))</f>
        <v>35000</v>
      </c>
      <c r="D6" s="30">
        <f>0</f>
        <v>0</v>
      </c>
      <c r="E6" s="30">
        <f t="shared" ref="E6:E20" si="1">C6-D6</f>
        <v>35000</v>
      </c>
      <c r="F6" s="30">
        <f>SUM($E$6:E6)</f>
        <v>35000</v>
      </c>
      <c r="G6" s="31">
        <f>IF($A6&lt;=Assumptions!$B$7,Assumptions!$B$8,Assumptions!$B$26*(1+Assumptions!$B$27)^($A6-Assumptions!$B$7-1))</f>
        <v>-14750</v>
      </c>
      <c r="H6" s="31">
        <f>IF(AND($A6&gt;Assumptions!$B$7,$A6&lt;=Assumptions!$B$7+Assumptions!$B$11),Assumptions!$B$15,0)</f>
        <v>0</v>
      </c>
      <c r="I6" s="31">
        <f t="shared" ref="I6:I20" si="2">G6-H6</f>
        <v>-14750</v>
      </c>
      <c r="J6" s="31">
        <f>SUM($I$6:I6)</f>
        <v>-14750</v>
      </c>
      <c r="K6" s="32">
        <f>IF($A6&lt;=Assumptions!$B$7,Assumptions!$B$8,Assumptions!$B$29*(1+Assumptions!$B$30)^($A6-Assumptions!$B$7-1))</f>
        <v>-14750</v>
      </c>
      <c r="L6" s="32">
        <f>IF(AND($A6&gt;Assumptions!$B$7,$A6&lt;=Assumptions!$B$7+Assumptions!$B$11),Assumptions!$B$15,0)</f>
        <v>0</v>
      </c>
      <c r="M6" s="32">
        <f t="shared" ref="M6:M20" si="3">K6-L6</f>
        <v>-14750</v>
      </c>
      <c r="N6" s="32">
        <f>SUM($M$6:M6)</f>
        <v>-14750</v>
      </c>
      <c r="O6" s="33">
        <f>IF($A6&lt;=Assumptions!$B$7,Assumptions!$B$8,Assumptions!$B$32*(1+Assumptions!$B$33)^($A6-Assumptions!$B$7-1))</f>
        <v>-14750</v>
      </c>
      <c r="P6" s="33">
        <f>IF(AND($A6&gt;Assumptions!$B$7,$A6&lt;=Assumptions!$B$7+Assumptions!$B$11),Assumptions!$B$15,0)</f>
        <v>0</v>
      </c>
      <c r="Q6" s="33">
        <f t="shared" ref="Q6:Q20" si="4">O6-P6</f>
        <v>-14750</v>
      </c>
      <c r="R6" s="33">
        <f>SUM($Q$6:Q6)</f>
        <v>-14750</v>
      </c>
      <c r="S6" s="34">
        <f>E6/(1+Assumptions!$B$12)^(A6-1)</f>
        <v>35000</v>
      </c>
      <c r="T6" s="34">
        <f>I6/(1+Assumptions!$B$12)^(A6-1)</f>
        <v>-14750</v>
      </c>
      <c r="U6" s="34">
        <f>M6/(1+Assumptions!$B$12)^(A6-1)</f>
        <v>-14750</v>
      </c>
      <c r="V6" s="35">
        <f>Q6/(1+Assumptions!$B$12)^(A6-1)</f>
        <v>-14750</v>
      </c>
    </row>
    <row r="7" spans="1:22" ht="15">
      <c r="A7" s="36">
        <v>2</v>
      </c>
      <c r="B7" s="37">
        <f t="shared" si="0"/>
        <v>19</v>
      </c>
      <c r="C7" s="38">
        <f>IF($A7&lt;=Assumptions!$B$7,Assumptions!$B$19*(1+Assumptions!$B$20)^($A7-1),Assumptions!$B$21*(1+Assumptions!$B$22)^($A7-Assumptions!$B$7-1))</f>
        <v>37800</v>
      </c>
      <c r="D7" s="38">
        <f>0</f>
        <v>0</v>
      </c>
      <c r="E7" s="38">
        <f t="shared" si="1"/>
        <v>37800</v>
      </c>
      <c r="F7" s="38">
        <f>SUM($E$6:E7)</f>
        <v>72800</v>
      </c>
      <c r="G7" s="39">
        <f>IF($A7&lt;=Assumptions!$B$7,Assumptions!$B$8,Assumptions!$B$26*(1+Assumptions!$B$27)^($A7-Assumptions!$B$7-1))</f>
        <v>-14750</v>
      </c>
      <c r="H7" s="39">
        <f>IF(AND($A7&gt;Assumptions!$B$7,$A7&lt;=Assumptions!$B$7+Assumptions!$B$11),Assumptions!$B$15,0)</f>
        <v>0</v>
      </c>
      <c r="I7" s="39">
        <f t="shared" si="2"/>
        <v>-14750</v>
      </c>
      <c r="J7" s="39">
        <f>SUM($I$6:I7)</f>
        <v>-29500</v>
      </c>
      <c r="K7" s="40">
        <f>IF($A7&lt;=Assumptions!$B$7,Assumptions!$B$8,Assumptions!$B$29*(1+Assumptions!$B$30)^($A7-Assumptions!$B$7-1))</f>
        <v>-14750</v>
      </c>
      <c r="L7" s="40">
        <f>IF(AND($A7&gt;Assumptions!$B$7,$A7&lt;=Assumptions!$B$7+Assumptions!$B$11),Assumptions!$B$15,0)</f>
        <v>0</v>
      </c>
      <c r="M7" s="40">
        <f t="shared" si="3"/>
        <v>-14750</v>
      </c>
      <c r="N7" s="40">
        <f>SUM($M$6:M7)</f>
        <v>-29500</v>
      </c>
      <c r="O7" s="41">
        <f>IF($A7&lt;=Assumptions!$B$7,Assumptions!$B$8,Assumptions!$B$32*(1+Assumptions!$B$33)^($A7-Assumptions!$B$7-1))</f>
        <v>-14750</v>
      </c>
      <c r="P7" s="41">
        <f>IF(AND($A7&gt;Assumptions!$B$7,$A7&lt;=Assumptions!$B$7+Assumptions!$B$11),Assumptions!$B$15,0)</f>
        <v>0</v>
      </c>
      <c r="Q7" s="41">
        <f t="shared" si="4"/>
        <v>-14750</v>
      </c>
      <c r="R7" s="41">
        <f>SUM($Q$6:Q7)</f>
        <v>-29500</v>
      </c>
      <c r="S7" s="42">
        <f>E7/(1+Assumptions!$B$12)^(A7-1)</f>
        <v>36699.029126213594</v>
      </c>
      <c r="T7" s="42">
        <f>I7/(1+Assumptions!$B$12)^(A7-1)</f>
        <v>-14320.388349514562</v>
      </c>
      <c r="U7" s="42">
        <f>M7/(1+Assumptions!$B$12)^(A7-1)</f>
        <v>-14320.388349514562</v>
      </c>
      <c r="V7" s="43">
        <f>Q7/(1+Assumptions!$B$12)^(A7-1)</f>
        <v>-14320.388349514562</v>
      </c>
    </row>
    <row r="8" spans="1:22" ht="15">
      <c r="A8" s="36">
        <v>3</v>
      </c>
      <c r="B8" s="37">
        <f t="shared" si="0"/>
        <v>20</v>
      </c>
      <c r="C8" s="38">
        <f>IF($A8&lt;=Assumptions!$B$7,Assumptions!$B$19*(1+Assumptions!$B$20)^($A8-1),Assumptions!$B$21*(1+Assumptions!$B$22)^($A8-Assumptions!$B$7-1))</f>
        <v>40824</v>
      </c>
      <c r="D8" s="38">
        <f>0</f>
        <v>0</v>
      </c>
      <c r="E8" s="38">
        <f t="shared" si="1"/>
        <v>40824</v>
      </c>
      <c r="F8" s="38">
        <f>SUM($E$6:E8)</f>
        <v>113624</v>
      </c>
      <c r="G8" s="39">
        <f>IF($A8&lt;=Assumptions!$B$7,Assumptions!$B$8,Assumptions!$B$26*(1+Assumptions!$B$27)^($A8-Assumptions!$B$7-1))</f>
        <v>-14750</v>
      </c>
      <c r="H8" s="39">
        <f>IF(AND($A8&gt;Assumptions!$B$7,$A8&lt;=Assumptions!$B$7+Assumptions!$B$11),Assumptions!$B$15,0)</f>
        <v>0</v>
      </c>
      <c r="I8" s="39">
        <f t="shared" si="2"/>
        <v>-14750</v>
      </c>
      <c r="J8" s="39">
        <f>SUM($I$6:I8)</f>
        <v>-44250</v>
      </c>
      <c r="K8" s="40">
        <f>IF($A8&lt;=Assumptions!$B$7,Assumptions!$B$8,Assumptions!$B$29*(1+Assumptions!$B$30)^($A8-Assumptions!$B$7-1))</f>
        <v>-14750</v>
      </c>
      <c r="L8" s="40">
        <f>IF(AND($A8&gt;Assumptions!$B$7,$A8&lt;=Assumptions!$B$7+Assumptions!$B$11),Assumptions!$B$15,0)</f>
        <v>0</v>
      </c>
      <c r="M8" s="40">
        <f t="shared" si="3"/>
        <v>-14750</v>
      </c>
      <c r="N8" s="40">
        <f>SUM($M$6:M8)</f>
        <v>-44250</v>
      </c>
      <c r="O8" s="41">
        <f>IF($A8&lt;=Assumptions!$B$7,Assumptions!$B$8,Assumptions!$B$32*(1+Assumptions!$B$33)^($A8-Assumptions!$B$7-1))</f>
        <v>-14750</v>
      </c>
      <c r="P8" s="41">
        <f>IF(AND($A8&gt;Assumptions!$B$7,$A8&lt;=Assumptions!$B$7+Assumptions!$B$11),Assumptions!$B$15,0)</f>
        <v>0</v>
      </c>
      <c r="Q8" s="41">
        <f t="shared" si="4"/>
        <v>-14750</v>
      </c>
      <c r="R8" s="41">
        <f>SUM($Q$6:Q8)</f>
        <v>-44250</v>
      </c>
      <c r="S8" s="42">
        <f>E8/(1+Assumptions!$B$12)^(A8-1)</f>
        <v>38480.535394476392</v>
      </c>
      <c r="T8" s="42">
        <f>I8/(1+Assumptions!$B$12)^(A8-1)</f>
        <v>-13903.289659722877</v>
      </c>
      <c r="U8" s="42">
        <f>M8/(1+Assumptions!$B$12)^(A8-1)</f>
        <v>-13903.289659722877</v>
      </c>
      <c r="V8" s="43">
        <f>Q8/(1+Assumptions!$B$12)^(A8-1)</f>
        <v>-13903.289659722877</v>
      </c>
    </row>
    <row r="9" spans="1:22" ht="15">
      <c r="A9" s="36">
        <v>4</v>
      </c>
      <c r="B9" s="37">
        <f t="shared" si="0"/>
        <v>21</v>
      </c>
      <c r="C9" s="38">
        <f>IF($A9&lt;=Assumptions!$B$7,Assumptions!$B$19*(1+Assumptions!$B$20)^($A9-1),Assumptions!$B$21*(1+Assumptions!$B$22)^($A9-Assumptions!$B$7-1))</f>
        <v>44089.920000000006</v>
      </c>
      <c r="D9" s="38">
        <f>0</f>
        <v>0</v>
      </c>
      <c r="E9" s="38">
        <f t="shared" si="1"/>
        <v>44089.920000000006</v>
      </c>
      <c r="F9" s="38">
        <f>SUM($E$6:E9)</f>
        <v>157713.92000000001</v>
      </c>
      <c r="G9" s="39">
        <f>IF($A9&lt;=Assumptions!$B$7,Assumptions!$B$8,Assumptions!$B$26*(1+Assumptions!$B$27)^($A9-Assumptions!$B$7-1))</f>
        <v>-14750</v>
      </c>
      <c r="H9" s="39">
        <f>IF(AND($A9&gt;Assumptions!$B$7,$A9&lt;=Assumptions!$B$7+Assumptions!$B$11),Assumptions!$B$15,0)</f>
        <v>0</v>
      </c>
      <c r="I9" s="39">
        <f t="shared" si="2"/>
        <v>-14750</v>
      </c>
      <c r="J9" s="39">
        <f>SUM($I$6:I9)</f>
        <v>-59000</v>
      </c>
      <c r="K9" s="40">
        <f>IF($A9&lt;=Assumptions!$B$7,Assumptions!$B$8,Assumptions!$B$29*(1+Assumptions!$B$30)^($A9-Assumptions!$B$7-1))</f>
        <v>-14750</v>
      </c>
      <c r="L9" s="40">
        <f>IF(AND($A9&gt;Assumptions!$B$7,$A9&lt;=Assumptions!$B$7+Assumptions!$B$11),Assumptions!$B$15,0)</f>
        <v>0</v>
      </c>
      <c r="M9" s="40">
        <f t="shared" si="3"/>
        <v>-14750</v>
      </c>
      <c r="N9" s="40">
        <f>SUM($M$6:M9)</f>
        <v>-59000</v>
      </c>
      <c r="O9" s="41">
        <f>IF($A9&lt;=Assumptions!$B$7,Assumptions!$B$8,Assumptions!$B$32*(1+Assumptions!$B$33)^($A9-Assumptions!$B$7-1))</f>
        <v>-14750</v>
      </c>
      <c r="P9" s="41">
        <f>IF(AND($A9&gt;Assumptions!$B$7,$A9&lt;=Assumptions!$B$7+Assumptions!$B$11),Assumptions!$B$15,0)</f>
        <v>0</v>
      </c>
      <c r="Q9" s="41">
        <f t="shared" si="4"/>
        <v>-14750</v>
      </c>
      <c r="R9" s="41">
        <f>SUM($Q$6:Q9)</f>
        <v>-59000</v>
      </c>
      <c r="S9" s="42">
        <f>E9/(1+Assumptions!$B$12)^(A9-1)</f>
        <v>40348.522549548063</v>
      </c>
      <c r="T9" s="42">
        <f>I9/(1+Assumptions!$B$12)^(A9-1)</f>
        <v>-13498.339475459105</v>
      </c>
      <c r="U9" s="42">
        <f>M9/(1+Assumptions!$B$12)^(A9-1)</f>
        <v>-13498.339475459105</v>
      </c>
      <c r="V9" s="43">
        <f>Q9/(1+Assumptions!$B$12)^(A9-1)</f>
        <v>-13498.339475459105</v>
      </c>
    </row>
    <row r="10" spans="1:22" ht="15">
      <c r="A10" s="36">
        <v>5</v>
      </c>
      <c r="B10" s="37">
        <f t="shared" si="0"/>
        <v>22</v>
      </c>
      <c r="C10" s="38">
        <f>IF($A10&lt;=Assumptions!$B$7,Assumptions!$B$19*(1+Assumptions!$B$20)^($A10-1),Assumptions!$B$21*(1+Assumptions!$B$22)^($A10-Assumptions!$B$7-1))</f>
        <v>62350</v>
      </c>
      <c r="D10" s="38">
        <f>0</f>
        <v>0</v>
      </c>
      <c r="E10" s="38">
        <f t="shared" si="1"/>
        <v>62350</v>
      </c>
      <c r="F10" s="38">
        <f>SUM($E$6:E10)</f>
        <v>220063.92</v>
      </c>
      <c r="G10" s="39">
        <f>IF($A10&lt;=Assumptions!$B$7,Assumptions!$B$8,Assumptions!$B$26*(1+Assumptions!$B$27)^($A10-Assumptions!$B$7-1))</f>
        <v>75000</v>
      </c>
      <c r="H10" s="39">
        <f>IF(AND($A10&gt;Assumptions!$B$7,$A10&lt;=Assumptions!$B$7+Assumptions!$B$11),Assumptions!$B$15,0)</f>
        <v>3190.2334588270514</v>
      </c>
      <c r="I10" s="39">
        <f t="shared" si="2"/>
        <v>71809.766541172954</v>
      </c>
      <c r="J10" s="39">
        <f>SUM($I$6:I10)</f>
        <v>12809.766541172954</v>
      </c>
      <c r="K10" s="40">
        <f>IF($A10&lt;=Assumptions!$B$7,Assumptions!$B$8,Assumptions!$B$29*(1+Assumptions!$B$30)^($A10-Assumptions!$B$7-1))</f>
        <v>52000</v>
      </c>
      <c r="L10" s="40">
        <f>IF(AND($A10&gt;Assumptions!$B$7,$A10&lt;=Assumptions!$B$7+Assumptions!$B$11),Assumptions!$B$15,0)</f>
        <v>3190.2334588270514</v>
      </c>
      <c r="M10" s="40">
        <f t="shared" si="3"/>
        <v>48809.766541172947</v>
      </c>
      <c r="N10" s="40">
        <f>SUM($M$6:M10)</f>
        <v>-10190.233458827053</v>
      </c>
      <c r="O10" s="41">
        <f>IF($A10&lt;=Assumptions!$B$7,Assumptions!$B$8,Assumptions!$B$32*(1+Assumptions!$B$33)^($A10-Assumptions!$B$7-1))</f>
        <v>45000</v>
      </c>
      <c r="P10" s="41">
        <f>IF(AND($A10&gt;Assumptions!$B$7,$A10&lt;=Assumptions!$B$7+Assumptions!$B$11),Assumptions!$B$15,0)</f>
        <v>3190.2334588270514</v>
      </c>
      <c r="Q10" s="41">
        <f t="shared" si="4"/>
        <v>41809.766541172947</v>
      </c>
      <c r="R10" s="41">
        <f>SUM($Q$6:Q10)</f>
        <v>-17190.233458827053</v>
      </c>
      <c r="S10" s="42">
        <f>E10/(1+Assumptions!$B$12)^(A10-1)</f>
        <v>55397.167437543205</v>
      </c>
      <c r="T10" s="42">
        <f>I10/(1+Assumptions!$B$12)^(A10-1)</f>
        <v>63802.047485681571</v>
      </c>
      <c r="U10" s="42">
        <f>M10/(1+Assumptions!$B$12)^(A10-1)</f>
        <v>43366.845383620719</v>
      </c>
      <c r="V10" s="43">
        <f>Q10/(1+Assumptions!$B$12)^(A10-1)</f>
        <v>37147.436048210897</v>
      </c>
    </row>
    <row r="11" spans="1:22" ht="15">
      <c r="A11" s="36">
        <v>6</v>
      </c>
      <c r="B11" s="37">
        <f t="shared" si="0"/>
        <v>23</v>
      </c>
      <c r="C11" s="38">
        <f>IF($A11&lt;=Assumptions!$B$7,Assumptions!$B$19*(1+Assumptions!$B$20)^($A11-1),Assumptions!$B$21*(1+Assumptions!$B$22)^($A11-Assumptions!$B$7-1))</f>
        <v>64220.5</v>
      </c>
      <c r="D11" s="38">
        <f>0</f>
        <v>0</v>
      </c>
      <c r="E11" s="38">
        <f t="shared" si="1"/>
        <v>64220.5</v>
      </c>
      <c r="F11" s="38">
        <f>SUM($E$6:E11)</f>
        <v>284284.42000000004</v>
      </c>
      <c r="G11" s="39">
        <f>IF($A11&lt;=Assumptions!$B$7,Assumptions!$B$8,Assumptions!$B$26*(1+Assumptions!$B$27)^($A11-Assumptions!$B$7-1))</f>
        <v>78750</v>
      </c>
      <c r="H11" s="39">
        <f>IF(AND($A11&gt;Assumptions!$B$7,$A11&lt;=Assumptions!$B$7+Assumptions!$B$11),Assumptions!$B$15,0)</f>
        <v>3190.2334588270514</v>
      </c>
      <c r="I11" s="39">
        <f t="shared" si="2"/>
        <v>75559.766541172954</v>
      </c>
      <c r="J11" s="39">
        <f>SUM($I$6:I11)</f>
        <v>88369.533082345908</v>
      </c>
      <c r="K11" s="40">
        <f>IF($A11&lt;=Assumptions!$B$7,Assumptions!$B$8,Assumptions!$B$29*(1+Assumptions!$B$30)^($A11-Assumptions!$B$7-1))</f>
        <v>53560</v>
      </c>
      <c r="L11" s="40">
        <f>IF(AND($A11&gt;Assumptions!$B$7,$A11&lt;=Assumptions!$B$7+Assumptions!$B$11),Assumptions!$B$15,0)</f>
        <v>3190.2334588270514</v>
      </c>
      <c r="M11" s="40">
        <f t="shared" si="3"/>
        <v>50369.766541172947</v>
      </c>
      <c r="N11" s="40">
        <f>SUM($M$6:M11)</f>
        <v>40179.533082345893</v>
      </c>
      <c r="O11" s="41">
        <f>IF($A11&lt;=Assumptions!$B$7,Assumptions!$B$8,Assumptions!$B$32*(1+Assumptions!$B$33)^($A11-Assumptions!$B$7-1))</f>
        <v>46350</v>
      </c>
      <c r="P11" s="41">
        <f>IF(AND($A11&gt;Assumptions!$B$7,$A11&lt;=Assumptions!$B$7+Assumptions!$B$11),Assumptions!$B$15,0)</f>
        <v>3190.2334588270514</v>
      </c>
      <c r="Q11" s="41">
        <f t="shared" si="4"/>
        <v>43159.766541172947</v>
      </c>
      <c r="R11" s="41">
        <f>SUM($Q$6:Q11)</f>
        <v>25969.533082345893</v>
      </c>
      <c r="S11" s="42">
        <f>E11/(1+Assumptions!$B$12)^(A11-1)</f>
        <v>55397.167437543212</v>
      </c>
      <c r="T11" s="42">
        <f>I11/(1+Assumptions!$B$12)^(A11-1)</f>
        <v>65178.518364432435</v>
      </c>
      <c r="U11" s="42">
        <f>M11/(1+Assumptions!$B$12)^(A11-1)</f>
        <v>43449.40308579534</v>
      </c>
      <c r="V11" s="43">
        <f>Q11/(1+Assumptions!$B$12)^(A11-1)</f>
        <v>37229.993750385511</v>
      </c>
    </row>
    <row r="12" spans="1:22" ht="15">
      <c r="A12" s="36">
        <v>7</v>
      </c>
      <c r="B12" s="37">
        <f t="shared" si="0"/>
        <v>24</v>
      </c>
      <c r="C12" s="38">
        <f>IF($A12&lt;=Assumptions!$B$7,Assumptions!$B$19*(1+Assumptions!$B$20)^($A12-1),Assumptions!$B$21*(1+Assumptions!$B$22)^($A12-Assumptions!$B$7-1))</f>
        <v>66147.114999999991</v>
      </c>
      <c r="D12" s="38">
        <f>0</f>
        <v>0</v>
      </c>
      <c r="E12" s="38">
        <f t="shared" si="1"/>
        <v>66147.114999999991</v>
      </c>
      <c r="F12" s="38">
        <f>SUM($E$6:E12)</f>
        <v>350431.53500000003</v>
      </c>
      <c r="G12" s="39">
        <f>IF($A12&lt;=Assumptions!$B$7,Assumptions!$B$8,Assumptions!$B$26*(1+Assumptions!$B$27)^($A12-Assumptions!$B$7-1))</f>
        <v>82687.5</v>
      </c>
      <c r="H12" s="39">
        <f>IF(AND($A12&gt;Assumptions!$B$7,$A12&lt;=Assumptions!$B$7+Assumptions!$B$11),Assumptions!$B$15,0)</f>
        <v>3190.2334588270514</v>
      </c>
      <c r="I12" s="39">
        <f t="shared" si="2"/>
        <v>79497.266541172954</v>
      </c>
      <c r="J12" s="39">
        <f>SUM($I$6:I12)</f>
        <v>167866.79962351886</v>
      </c>
      <c r="K12" s="40">
        <f>IF($A12&lt;=Assumptions!$B$7,Assumptions!$B$8,Assumptions!$B$29*(1+Assumptions!$B$30)^($A12-Assumptions!$B$7-1))</f>
        <v>55166.799999999996</v>
      </c>
      <c r="L12" s="40">
        <f>IF(AND($A12&gt;Assumptions!$B$7,$A12&lt;=Assumptions!$B$7+Assumptions!$B$11),Assumptions!$B$15,0)</f>
        <v>3190.2334588270514</v>
      </c>
      <c r="M12" s="40">
        <f t="shared" si="3"/>
        <v>51976.566541172942</v>
      </c>
      <c r="N12" s="40">
        <f>SUM($M$6:M12)</f>
        <v>92156.099623518836</v>
      </c>
      <c r="O12" s="41">
        <f>IF($A12&lt;=Assumptions!$B$7,Assumptions!$B$8,Assumptions!$B$32*(1+Assumptions!$B$33)^($A12-Assumptions!$B$7-1))</f>
        <v>47740.5</v>
      </c>
      <c r="P12" s="41">
        <f>IF(AND($A12&gt;Assumptions!$B$7,$A12&lt;=Assumptions!$B$7+Assumptions!$B$11),Assumptions!$B$15,0)</f>
        <v>3190.2334588270514</v>
      </c>
      <c r="Q12" s="41">
        <f t="shared" si="4"/>
        <v>44550.266541172947</v>
      </c>
      <c r="R12" s="41">
        <f>SUM($Q$6:Q12)</f>
        <v>70519.799623518833</v>
      </c>
      <c r="S12" s="42">
        <f>E12/(1+Assumptions!$B$12)^(A12-1)</f>
        <v>55397.167437543198</v>
      </c>
      <c r="T12" s="42">
        <f>I12/(1+Assumptions!$B$12)^(A12-1)</f>
        <v>66577.709177616576</v>
      </c>
      <c r="U12" s="42">
        <f>M12/(1+Assumptions!$B$12)^(A12-1)</f>
        <v>43529.556194702724</v>
      </c>
      <c r="V12" s="43">
        <f>Q12/(1+Assumptions!$B$12)^(A12-1)</f>
        <v>37310.146859292909</v>
      </c>
    </row>
    <row r="13" spans="1:22" ht="15">
      <c r="A13" s="36">
        <v>8</v>
      </c>
      <c r="B13" s="37">
        <f t="shared" si="0"/>
        <v>25</v>
      </c>
      <c r="C13" s="38">
        <f>IF($A13&lt;=Assumptions!$B$7,Assumptions!$B$19*(1+Assumptions!$B$20)^($A13-1),Assumptions!$B$21*(1+Assumptions!$B$22)^($A13-Assumptions!$B$7-1))</f>
        <v>68131.528449999998</v>
      </c>
      <c r="D13" s="38">
        <f>0</f>
        <v>0</v>
      </c>
      <c r="E13" s="38">
        <f t="shared" si="1"/>
        <v>68131.528449999998</v>
      </c>
      <c r="F13" s="38">
        <f>SUM($E$6:E13)</f>
        <v>418563.06345000002</v>
      </c>
      <c r="G13" s="39">
        <f>IF($A13&lt;=Assumptions!$B$7,Assumptions!$B$8,Assumptions!$B$26*(1+Assumptions!$B$27)^($A13-Assumptions!$B$7-1))</f>
        <v>86821.875000000015</v>
      </c>
      <c r="H13" s="39">
        <f>IF(AND($A13&gt;Assumptions!$B$7,$A13&lt;=Assumptions!$B$7+Assumptions!$B$11),Assumptions!$B$15,0)</f>
        <v>3190.2334588270514</v>
      </c>
      <c r="I13" s="39">
        <f t="shared" si="2"/>
        <v>83631.641541172969</v>
      </c>
      <c r="J13" s="39">
        <f>SUM($I$6:I13)</f>
        <v>251498.44116469182</v>
      </c>
      <c r="K13" s="40">
        <f>IF($A13&lt;=Assumptions!$B$7,Assumptions!$B$8,Assumptions!$B$29*(1+Assumptions!$B$30)^($A13-Assumptions!$B$7-1))</f>
        <v>56821.804000000004</v>
      </c>
      <c r="L13" s="40">
        <f>IF(AND($A13&gt;Assumptions!$B$7,$A13&lt;=Assumptions!$B$7+Assumptions!$B$11),Assumptions!$B$15,0)</f>
        <v>3190.2334588270514</v>
      </c>
      <c r="M13" s="40">
        <f t="shared" si="3"/>
        <v>53631.57054117295</v>
      </c>
      <c r="N13" s="40">
        <f>SUM($M$6:M13)</f>
        <v>145787.67016469178</v>
      </c>
      <c r="O13" s="41">
        <f>IF($A13&lt;=Assumptions!$B$7,Assumptions!$B$8,Assumptions!$B$32*(1+Assumptions!$B$33)^($A13-Assumptions!$B$7-1))</f>
        <v>49172.715000000004</v>
      </c>
      <c r="P13" s="41">
        <f>IF(AND($A13&gt;Assumptions!$B$7,$A13&lt;=Assumptions!$B$7+Assumptions!$B$11),Assumptions!$B$15,0)</f>
        <v>3190.2334588270514</v>
      </c>
      <c r="Q13" s="41">
        <f t="shared" si="4"/>
        <v>45982.481541172951</v>
      </c>
      <c r="R13" s="41">
        <f>SUM($Q$6:Q13)</f>
        <v>116502.28116469178</v>
      </c>
      <c r="S13" s="42">
        <f>E13/(1+Assumptions!$B$12)^(A13-1)</f>
        <v>55397.167437543205</v>
      </c>
      <c r="T13" s="42">
        <f>I13/(1+Assumptions!$B$12)^(A13-1)</f>
        <v>68000.177816837939</v>
      </c>
      <c r="U13" s="42">
        <f>M13/(1+Assumptions!$B$12)^(A13-1)</f>
        <v>43607.374747040005</v>
      </c>
      <c r="V13" s="43">
        <f>Q13/(1+Assumptions!$B$12)^(A13-1)</f>
        <v>37387.965411630183</v>
      </c>
    </row>
    <row r="14" spans="1:22" ht="15">
      <c r="A14" s="36">
        <v>9</v>
      </c>
      <c r="B14" s="37">
        <f t="shared" si="0"/>
        <v>26</v>
      </c>
      <c r="C14" s="38">
        <f>IF($A14&lt;=Assumptions!$B$7,Assumptions!$B$19*(1+Assumptions!$B$20)^($A14-1),Assumptions!$B$21*(1+Assumptions!$B$22)^($A14-Assumptions!$B$7-1))</f>
        <v>70175.474303499999</v>
      </c>
      <c r="D14" s="38">
        <f>0</f>
        <v>0</v>
      </c>
      <c r="E14" s="38">
        <f t="shared" si="1"/>
        <v>70175.474303499999</v>
      </c>
      <c r="F14" s="38">
        <f>SUM($E$6:E14)</f>
        <v>488738.53775350004</v>
      </c>
      <c r="G14" s="39">
        <f>IF($A14&lt;=Assumptions!$B$7,Assumptions!$B$8,Assumptions!$B$26*(1+Assumptions!$B$27)^($A14-Assumptions!$B$7-1))</f>
        <v>91162.96875</v>
      </c>
      <c r="H14" s="39">
        <f>IF(AND($A14&gt;Assumptions!$B$7,$A14&lt;=Assumptions!$B$7+Assumptions!$B$11),Assumptions!$B$15,0)</f>
        <v>3190.2334588270514</v>
      </c>
      <c r="I14" s="39">
        <f t="shared" si="2"/>
        <v>87972.735291172954</v>
      </c>
      <c r="J14" s="39">
        <f>SUM($I$6:I14)</f>
        <v>339471.1764558648</v>
      </c>
      <c r="K14" s="40">
        <f>IF($A14&lt;=Assumptions!$B$7,Assumptions!$B$8,Assumptions!$B$29*(1+Assumptions!$B$30)^($A14-Assumptions!$B$7-1))</f>
        <v>58526.458119999996</v>
      </c>
      <c r="L14" s="40">
        <f>IF(AND($A14&gt;Assumptions!$B$7,$A14&lt;=Assumptions!$B$7+Assumptions!$B$11),Assumptions!$B$15,0)</f>
        <v>3190.2334588270514</v>
      </c>
      <c r="M14" s="40">
        <f t="shared" si="3"/>
        <v>55336.224661172942</v>
      </c>
      <c r="N14" s="40">
        <f>SUM($M$6:M14)</f>
        <v>201123.89482586473</v>
      </c>
      <c r="O14" s="41">
        <f>IF($A14&lt;=Assumptions!$B$7,Assumptions!$B$8,Assumptions!$B$32*(1+Assumptions!$B$33)^($A14-Assumptions!$B$7-1))</f>
        <v>50647.896449999993</v>
      </c>
      <c r="P14" s="41">
        <f>IF(AND($A14&gt;Assumptions!$B$7,$A14&lt;=Assumptions!$B$7+Assumptions!$B$11),Assumptions!$B$15,0)</f>
        <v>3190.2334588270514</v>
      </c>
      <c r="Q14" s="41">
        <f t="shared" si="4"/>
        <v>47457.66299117294</v>
      </c>
      <c r="R14" s="41">
        <f>SUM($Q$6:Q14)</f>
        <v>163959.94415586471</v>
      </c>
      <c r="S14" s="42">
        <f>E14/(1+Assumptions!$B$12)^(A14-1)</f>
        <v>55397.167437543212</v>
      </c>
      <c r="T14" s="42">
        <f>I14/(1+Assumptions!$B$12)^(A14-1)</f>
        <v>69446.489606707401</v>
      </c>
      <c r="U14" s="42">
        <f>M14/(1+Assumptions!$B$12)^(A14-1)</f>
        <v>43682.926739600465</v>
      </c>
      <c r="V14" s="43">
        <f>Q14/(1+Assumptions!$B$12)^(A14-1)</f>
        <v>37463.517404190636</v>
      </c>
    </row>
    <row r="15" spans="1:22" ht="15">
      <c r="A15" s="36">
        <v>10</v>
      </c>
      <c r="B15" s="37">
        <f t="shared" si="0"/>
        <v>27</v>
      </c>
      <c r="C15" s="38">
        <f>IF($A15&lt;=Assumptions!$B$7,Assumptions!$B$19*(1+Assumptions!$B$20)^($A15-1),Assumptions!$B$21*(1+Assumptions!$B$22)^($A15-Assumptions!$B$7-1))</f>
        <v>72280.738532604984</v>
      </c>
      <c r="D15" s="38">
        <f>0</f>
        <v>0</v>
      </c>
      <c r="E15" s="38">
        <f t="shared" si="1"/>
        <v>72280.738532604984</v>
      </c>
      <c r="F15" s="38">
        <f>SUM($E$6:E15)</f>
        <v>561019.27628610504</v>
      </c>
      <c r="G15" s="39">
        <f>IF($A15&lt;=Assumptions!$B$7,Assumptions!$B$8,Assumptions!$B$26*(1+Assumptions!$B$27)^($A15-Assumptions!$B$7-1))</f>
        <v>95721.117187500015</v>
      </c>
      <c r="H15" s="39">
        <f>IF(AND($A15&gt;Assumptions!$B$7,$A15&lt;=Assumptions!$B$7+Assumptions!$B$11),Assumptions!$B$15,0)</f>
        <v>3190.2334588270514</v>
      </c>
      <c r="I15" s="39">
        <f t="shared" si="2"/>
        <v>92530.883728672969</v>
      </c>
      <c r="J15" s="39">
        <f>SUM($I$6:I15)</f>
        <v>432002.06018453778</v>
      </c>
      <c r="K15" s="40">
        <f>IF($A15&lt;=Assumptions!$B$7,Assumptions!$B$8,Assumptions!$B$29*(1+Assumptions!$B$30)^($A15-Assumptions!$B$7-1))</f>
        <v>60282.251863599995</v>
      </c>
      <c r="L15" s="40">
        <f>IF(AND($A15&gt;Assumptions!$B$7,$A15&lt;=Assumptions!$B$7+Assumptions!$B$11),Assumptions!$B$15,0)</f>
        <v>3190.2334588270514</v>
      </c>
      <c r="M15" s="40">
        <f t="shared" si="3"/>
        <v>57092.018404772942</v>
      </c>
      <c r="N15" s="40">
        <f>SUM($M$6:M15)</f>
        <v>258215.91323063767</v>
      </c>
      <c r="O15" s="41">
        <f>IF($A15&lt;=Assumptions!$B$7,Assumptions!$B$8,Assumptions!$B$32*(1+Assumptions!$B$33)^($A15-Assumptions!$B$7-1))</f>
        <v>52167.333343499995</v>
      </c>
      <c r="P15" s="41">
        <f>IF(AND($A15&gt;Assumptions!$B$7,$A15&lt;=Assumptions!$B$7+Assumptions!$B$11),Assumptions!$B$15,0)</f>
        <v>3190.2334588270514</v>
      </c>
      <c r="Q15" s="41">
        <f t="shared" si="4"/>
        <v>48977.099884672942</v>
      </c>
      <c r="R15" s="41">
        <f>SUM($Q$6:Q15)</f>
        <v>212937.04404053764</v>
      </c>
      <c r="S15" s="42">
        <f>E15/(1+Assumptions!$B$12)^(A15-1)</f>
        <v>55397.167437543198</v>
      </c>
      <c r="T15" s="42">
        <f>I15/(1+Assumptions!$B$12)^(A15-1)</f>
        <v>70917.217548197616</v>
      </c>
      <c r="U15" s="42">
        <f>M15/(1+Assumptions!$B$12)^(A15-1)</f>
        <v>43756.278188688288</v>
      </c>
      <c r="V15" s="43">
        <f>Q15/(1+Assumptions!$B$12)^(A15-1)</f>
        <v>37536.868853278465</v>
      </c>
    </row>
    <row r="16" spans="1:22" ht="15">
      <c r="A16" s="36">
        <v>11</v>
      </c>
      <c r="B16" s="37">
        <f t="shared" si="0"/>
        <v>28</v>
      </c>
      <c r="C16" s="38">
        <f>IF($A16&lt;=Assumptions!$B$7,Assumptions!$B$19*(1+Assumptions!$B$20)^($A16-1),Assumptions!$B$21*(1+Assumptions!$B$22)^($A16-Assumptions!$B$7-1))</f>
        <v>74449.160688583142</v>
      </c>
      <c r="D16" s="38">
        <f>0</f>
        <v>0</v>
      </c>
      <c r="E16" s="38">
        <f t="shared" si="1"/>
        <v>74449.160688583142</v>
      </c>
      <c r="F16" s="38">
        <f>SUM($E$6:E16)</f>
        <v>635468.4369746882</v>
      </c>
      <c r="G16" s="39">
        <f>IF($A16&lt;=Assumptions!$B$7,Assumptions!$B$8,Assumptions!$B$26*(1+Assumptions!$B$27)^($A16-Assumptions!$B$7-1))</f>
        <v>100507.173046875</v>
      </c>
      <c r="H16" s="39">
        <f>IF(AND($A16&gt;Assumptions!$B$7,$A16&lt;=Assumptions!$B$7+Assumptions!$B$11),Assumptions!$B$15,0)</f>
        <v>3190.2334588270514</v>
      </c>
      <c r="I16" s="39">
        <f t="shared" si="2"/>
        <v>97316.939588047957</v>
      </c>
      <c r="J16" s="39">
        <f>SUM($I$6:I16)</f>
        <v>529318.9997725857</v>
      </c>
      <c r="K16" s="40">
        <f>IF($A16&lt;=Assumptions!$B$7,Assumptions!$B$8,Assumptions!$B$29*(1+Assumptions!$B$30)^($A16-Assumptions!$B$7-1))</f>
        <v>62090.719419507994</v>
      </c>
      <c r="L16" s="40">
        <f>IF(AND($A16&gt;Assumptions!$B$7,$A16&lt;=Assumptions!$B$7+Assumptions!$B$11),Assumptions!$B$15,0)</f>
        <v>3190.2334588270514</v>
      </c>
      <c r="M16" s="40">
        <f t="shared" si="3"/>
        <v>58900.48596068094</v>
      </c>
      <c r="N16" s="40">
        <f>SUM($M$6:M16)</f>
        <v>317116.3991913186</v>
      </c>
      <c r="O16" s="41">
        <f>IF($A16&lt;=Assumptions!$B$7,Assumptions!$B$8,Assumptions!$B$32*(1+Assumptions!$B$33)^($A16-Assumptions!$B$7-1))</f>
        <v>53732.353343804993</v>
      </c>
      <c r="P16" s="41">
        <f>IF(AND($A16&gt;Assumptions!$B$7,$A16&lt;=Assumptions!$B$7+Assumptions!$B$11),Assumptions!$B$15,0)</f>
        <v>3190.2334588270514</v>
      </c>
      <c r="Q16" s="41">
        <f t="shared" si="4"/>
        <v>50542.119884977939</v>
      </c>
      <c r="R16" s="41">
        <f>SUM($Q$6:Q16)</f>
        <v>263479.1639255156</v>
      </c>
      <c r="S16" s="42">
        <f>E16/(1+Assumptions!$B$12)^(A16-1)</f>
        <v>55397.167437543205</v>
      </c>
      <c r="T16" s="42">
        <f>I16/(1+Assumptions!$B$12)^(A16-1)</f>
        <v>72412.942563838704</v>
      </c>
      <c r="U16" s="42">
        <f>M16/(1+Assumptions!$B$12)^(A16-1)</f>
        <v>43827.493187802684</v>
      </c>
      <c r="V16" s="43">
        <f>Q16/(1+Assumptions!$B$12)^(A16-1)</f>
        <v>37608.083852392854</v>
      </c>
    </row>
    <row r="17" spans="1:22" ht="15">
      <c r="A17" s="36">
        <v>12</v>
      </c>
      <c r="B17" s="37">
        <f t="shared" si="0"/>
        <v>29</v>
      </c>
      <c r="C17" s="38">
        <f>IF($A17&lt;=Assumptions!$B$7,Assumptions!$B$19*(1+Assumptions!$B$20)^($A17-1),Assumptions!$B$21*(1+Assumptions!$B$22)^($A17-Assumptions!$B$7-1))</f>
        <v>76682.635509240645</v>
      </c>
      <c r="D17" s="38">
        <f>0</f>
        <v>0</v>
      </c>
      <c r="E17" s="38">
        <f t="shared" si="1"/>
        <v>76682.635509240645</v>
      </c>
      <c r="F17" s="38">
        <f>SUM($E$6:E17)</f>
        <v>712151.07248392887</v>
      </c>
      <c r="G17" s="39">
        <f>IF($A17&lt;=Assumptions!$B$7,Assumptions!$B$8,Assumptions!$B$26*(1+Assumptions!$B$27)^($A17-Assumptions!$B$7-1))</f>
        <v>105532.53169921877</v>
      </c>
      <c r="H17" s="39">
        <f>IF(AND($A17&gt;Assumptions!$B$7,$A17&lt;=Assumptions!$B$7+Assumptions!$B$11),Assumptions!$B$15,0)</f>
        <v>3190.2334588270514</v>
      </c>
      <c r="I17" s="39">
        <f t="shared" si="2"/>
        <v>102342.29824039173</v>
      </c>
      <c r="J17" s="39">
        <f>SUM($I$6:I17)</f>
        <v>631661.29801297747</v>
      </c>
      <c r="K17" s="40">
        <f>IF($A17&lt;=Assumptions!$B$7,Assumptions!$B$8,Assumptions!$B$29*(1+Assumptions!$B$30)^($A17-Assumptions!$B$7-1))</f>
        <v>63953.441002093241</v>
      </c>
      <c r="L17" s="40">
        <f>IF(AND($A17&gt;Assumptions!$B$7,$A17&lt;=Assumptions!$B$7+Assumptions!$B$11),Assumptions!$B$15,0)</f>
        <v>3190.2334588270514</v>
      </c>
      <c r="M17" s="40">
        <f t="shared" si="3"/>
        <v>60763.207543266188</v>
      </c>
      <c r="N17" s="40">
        <f>SUM($M$6:M17)</f>
        <v>377879.60673458478</v>
      </c>
      <c r="O17" s="41">
        <f>IF($A17&lt;=Assumptions!$B$7,Assumptions!$B$8,Assumptions!$B$32*(1+Assumptions!$B$33)^($A17-Assumptions!$B$7-1))</f>
        <v>55344.323944119147</v>
      </c>
      <c r="P17" s="41">
        <f>IF(AND($A17&gt;Assumptions!$B$7,$A17&lt;=Assumptions!$B$7+Assumptions!$B$11),Assumptions!$B$15,0)</f>
        <v>3190.2334588270514</v>
      </c>
      <c r="Q17" s="41">
        <f t="shared" si="4"/>
        <v>52154.090485292094</v>
      </c>
      <c r="R17" s="41">
        <f>SUM($Q$6:Q17)</f>
        <v>315633.25441080768</v>
      </c>
      <c r="S17" s="42">
        <f>E17/(1+Assumptions!$B$12)^(A17-1)</f>
        <v>55397.167437543205</v>
      </c>
      <c r="T17" s="42">
        <f>I17/(1+Assumptions!$B$12)^(A17-1)</f>
        <v>73934.253744875052</v>
      </c>
      <c r="U17" s="42">
        <f>M17/(1+Assumptions!$B$12)^(A17-1)</f>
        <v>43896.6339636419</v>
      </c>
      <c r="V17" s="43">
        <f>Q17/(1+Assumptions!$B$12)^(A17-1)</f>
        <v>37677.224628232078</v>
      </c>
    </row>
    <row r="18" spans="1:22" ht="15">
      <c r="A18" s="36">
        <v>13</v>
      </c>
      <c r="B18" s="37">
        <f t="shared" si="0"/>
        <v>30</v>
      </c>
      <c r="C18" s="38">
        <f>IF($A18&lt;=Assumptions!$B$7,Assumptions!$B$19*(1+Assumptions!$B$20)^($A18-1),Assumptions!$B$21*(1+Assumptions!$B$22)^($A18-Assumptions!$B$7-1))</f>
        <v>78983.114574517851</v>
      </c>
      <c r="D18" s="38">
        <f>0</f>
        <v>0</v>
      </c>
      <c r="E18" s="38">
        <f t="shared" si="1"/>
        <v>78983.114574517851</v>
      </c>
      <c r="F18" s="38">
        <f>SUM($E$6:E18)</f>
        <v>791134.1870584467</v>
      </c>
      <c r="G18" s="39">
        <f>IF($A18&lt;=Assumptions!$B$7,Assumptions!$B$8,Assumptions!$B$26*(1+Assumptions!$B$27)^($A18-Assumptions!$B$7-1))</f>
        <v>110809.15828417969</v>
      </c>
      <c r="H18" s="39">
        <f>IF(AND($A18&gt;Assumptions!$B$7,$A18&lt;=Assumptions!$B$7+Assumptions!$B$11),Assumptions!$B$15,0)</f>
        <v>3190.2334588270514</v>
      </c>
      <c r="I18" s="39">
        <f t="shared" si="2"/>
        <v>107618.92482535265</v>
      </c>
      <c r="J18" s="39">
        <f>SUM($I$6:I18)</f>
        <v>739280.22283833008</v>
      </c>
      <c r="K18" s="40">
        <f>IF($A18&lt;=Assumptions!$B$7,Assumptions!$B$8,Assumptions!$B$29*(1+Assumptions!$B$30)^($A18-Assumptions!$B$7-1))</f>
        <v>65872.044232156026</v>
      </c>
      <c r="L18" s="40">
        <f>IF(AND($A18&gt;Assumptions!$B$7,$A18&lt;=Assumptions!$B$7+Assumptions!$B$11),Assumptions!$B$15,0)</f>
        <v>3190.2334588270514</v>
      </c>
      <c r="M18" s="40">
        <f t="shared" si="3"/>
        <v>62681.810773328973</v>
      </c>
      <c r="N18" s="40">
        <f>SUM($M$6:M18)</f>
        <v>440561.41750791378</v>
      </c>
      <c r="O18" s="41">
        <f>IF($A18&lt;=Assumptions!$B$7,Assumptions!$B$8,Assumptions!$B$32*(1+Assumptions!$B$33)^($A18-Assumptions!$B$7-1))</f>
        <v>57004.653662442717</v>
      </c>
      <c r="P18" s="41">
        <f>IF(AND($A18&gt;Assumptions!$B$7,$A18&lt;=Assumptions!$B$7+Assumptions!$B$11),Assumptions!$B$15,0)</f>
        <v>3190.2334588270514</v>
      </c>
      <c r="Q18" s="41">
        <f t="shared" si="4"/>
        <v>53814.420203615664</v>
      </c>
      <c r="R18" s="41">
        <f>SUM($Q$6:Q18)</f>
        <v>369447.67461442336</v>
      </c>
      <c r="S18" s="42">
        <f>E18/(1+Assumptions!$B$12)^(A18-1)</f>
        <v>55397.167437543205</v>
      </c>
      <c r="T18" s="42">
        <f>I18/(1+Assumptions!$B$12)^(A18-1)</f>
        <v>75481.748600502426</v>
      </c>
      <c r="U18" s="42">
        <f>M18/(1+Assumptions!$B$12)^(A18-1)</f>
        <v>43963.760930476092</v>
      </c>
      <c r="V18" s="43">
        <f>Q18/(1+Assumptions!$B$12)^(A18-1)</f>
        <v>37744.35159506627</v>
      </c>
    </row>
    <row r="19" spans="1:22" ht="15">
      <c r="A19" s="36">
        <v>14</v>
      </c>
      <c r="B19" s="37">
        <f t="shared" si="0"/>
        <v>31</v>
      </c>
      <c r="C19" s="38">
        <f>IF($A19&lt;=Assumptions!$B$7,Assumptions!$B$19*(1+Assumptions!$B$20)^($A19-1),Assumptions!$B$21*(1+Assumptions!$B$22)^($A19-Assumptions!$B$7-1))</f>
        <v>81352.608011753386</v>
      </c>
      <c r="D19" s="38">
        <f>0</f>
        <v>0</v>
      </c>
      <c r="E19" s="38">
        <f t="shared" si="1"/>
        <v>81352.608011753386</v>
      </c>
      <c r="F19" s="38">
        <f>SUM($E$6:E19)</f>
        <v>872486.79507020011</v>
      </c>
      <c r="G19" s="39">
        <f>IF($A19&lt;=Assumptions!$B$7,Assumptions!$B$8,Assumptions!$B$26*(1+Assumptions!$B$27)^($A19-Assumptions!$B$7-1))</f>
        <v>116349.61619838869</v>
      </c>
      <c r="H19" s="39">
        <f>IF(AND($A19&gt;Assumptions!$B$7,$A19&lt;=Assumptions!$B$7+Assumptions!$B$11),Assumptions!$B$15,0)</f>
        <v>3190.2334588270514</v>
      </c>
      <c r="I19" s="39">
        <f t="shared" si="2"/>
        <v>113159.38273956164</v>
      </c>
      <c r="J19" s="39">
        <f>SUM($I$6:I19)</f>
        <v>852439.60557789169</v>
      </c>
      <c r="K19" s="40">
        <f>IF($A19&lt;=Assumptions!$B$7,Assumptions!$B$8,Assumptions!$B$29*(1+Assumptions!$B$30)^($A19-Assumptions!$B$7-1))</f>
        <v>67848.205559120717</v>
      </c>
      <c r="L19" s="40">
        <f>IF(AND($A19&gt;Assumptions!$B$7,$A19&lt;=Assumptions!$B$7+Assumptions!$B$11),Assumptions!$B$15,0)</f>
        <v>3190.2334588270514</v>
      </c>
      <c r="M19" s="40">
        <f t="shared" si="3"/>
        <v>64657.972100293664</v>
      </c>
      <c r="N19" s="40">
        <f>SUM($M$6:M19)</f>
        <v>505219.38960820745</v>
      </c>
      <c r="O19" s="41">
        <f>IF($A19&lt;=Assumptions!$B$7,Assumptions!$B$8,Assumptions!$B$32*(1+Assumptions!$B$33)^($A19-Assumptions!$B$7-1))</f>
        <v>58714.793272315997</v>
      </c>
      <c r="P19" s="41">
        <f>IF(AND($A19&gt;Assumptions!$B$7,$A19&lt;=Assumptions!$B$7+Assumptions!$B$11),Assumptions!$B$15,0)</f>
        <v>3190.2334588270514</v>
      </c>
      <c r="Q19" s="41">
        <f t="shared" si="4"/>
        <v>55524.559813488944</v>
      </c>
      <c r="R19" s="41">
        <f>SUM($Q$6:Q19)</f>
        <v>424972.23442791228</v>
      </c>
      <c r="S19" s="42">
        <f>E19/(1+Assumptions!$B$12)^(A19-1)</f>
        <v>55397.167437543212</v>
      </c>
      <c r="T19" s="42">
        <f>I19/(1+Assumptions!$B$12)^(A19-1)</f>
        <v>77056.033309305392</v>
      </c>
      <c r="U19" s="42">
        <f>M19/(1+Assumptions!$B$12)^(A19-1)</f>
        <v>44028.932742936486</v>
      </c>
      <c r="V19" s="43">
        <f>Q19/(1+Assumptions!$B$12)^(A19-1)</f>
        <v>37809.523407526656</v>
      </c>
    </row>
    <row r="20" spans="1:22" ht="15">
      <c r="A20" s="44">
        <v>15</v>
      </c>
      <c r="B20" s="45">
        <f t="shared" si="0"/>
        <v>32</v>
      </c>
      <c r="C20" s="46">
        <f>IF($A20&lt;=Assumptions!$B$7,Assumptions!$B$19*(1+Assumptions!$B$20)^($A20-1),Assumptions!$B$21*(1+Assumptions!$B$22)^($A20-Assumptions!$B$7-1))</f>
        <v>83793.186252105996</v>
      </c>
      <c r="D20" s="46">
        <f>0</f>
        <v>0</v>
      </c>
      <c r="E20" s="46">
        <f t="shared" si="1"/>
        <v>83793.186252105996</v>
      </c>
      <c r="F20" s="46">
        <f>SUM($E$6:E20)</f>
        <v>956279.98132230609</v>
      </c>
      <c r="G20" s="47">
        <f>IF($A20&lt;=Assumptions!$B$7,Assumptions!$B$8,Assumptions!$B$26*(1+Assumptions!$B$27)^($A20-Assumptions!$B$7-1))</f>
        <v>122167.09700830812</v>
      </c>
      <c r="H20" s="47">
        <f>IF(AND($A20&gt;Assumptions!$B$7,$A20&lt;=Assumptions!$B$7+Assumptions!$B$11),Assumptions!$B$15,0)</f>
        <v>3190.2334588270514</v>
      </c>
      <c r="I20" s="47">
        <f t="shared" si="2"/>
        <v>118976.86354948107</v>
      </c>
      <c r="J20" s="47">
        <f>SUM($I$6:I20)</f>
        <v>971416.46912737272</v>
      </c>
      <c r="K20" s="48">
        <f>IF($A20&lt;=Assumptions!$B$7,Assumptions!$B$8,Assumptions!$B$29*(1+Assumptions!$B$30)^($A20-Assumptions!$B$7-1))</f>
        <v>69883.651725894335</v>
      </c>
      <c r="L20" s="48">
        <f>IF(AND($A20&gt;Assumptions!$B$7,$A20&lt;=Assumptions!$B$7+Assumptions!$B$11),Assumptions!$B$15,0)</f>
        <v>3190.2334588270514</v>
      </c>
      <c r="M20" s="48">
        <f t="shared" si="3"/>
        <v>66693.418267067289</v>
      </c>
      <c r="N20" s="48">
        <f>SUM($M$6:M20)</f>
        <v>571912.80787527468</v>
      </c>
      <c r="O20" s="49">
        <f>IF($A20&lt;=Assumptions!$B$7,Assumptions!$B$8,Assumptions!$B$32*(1+Assumptions!$B$33)^($A20-Assumptions!$B$7-1))</f>
        <v>60476.237070485477</v>
      </c>
      <c r="P20" s="49">
        <f>IF(AND($A20&gt;Assumptions!$B$7,$A20&lt;=Assumptions!$B$7+Assumptions!$B$11),Assumptions!$B$15,0)</f>
        <v>3190.2334588270514</v>
      </c>
      <c r="Q20" s="49">
        <f t="shared" si="4"/>
        <v>57286.003611658423</v>
      </c>
      <c r="R20" s="49">
        <f>SUM($Q$6:Q20)</f>
        <v>482258.23803957069</v>
      </c>
      <c r="S20" s="50">
        <f>E20/(1+Assumptions!$B$12)^(A20-1)</f>
        <v>55397.167437543205</v>
      </c>
      <c r="T20" s="50">
        <f>I20/(1+Assumptions!$B$12)^(A20-1)</f>
        <v>78657.722973014184</v>
      </c>
      <c r="U20" s="50">
        <f>M20/(1+Assumptions!$B$12)^(A20-1)</f>
        <v>44092.206347266947</v>
      </c>
      <c r="V20" s="51">
        <f>Q20/(1+Assumptions!$B$12)^(A20-1)</f>
        <v>37872.797011857117</v>
      </c>
    </row>
  </sheetData>
  <mergeCells count="2">
    <mergeCell ref="A1:V1"/>
    <mergeCell ref="A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"/>
  <sheetViews>
    <sheetView showGridLines="0" workbookViewId="0">
      <selection sqref="A1:F1"/>
    </sheetView>
  </sheetViews>
  <sheetFormatPr baseColWidth="10" defaultColWidth="8.83203125" defaultRowHeight="14"/>
  <cols>
    <col min="1" max="1" width="5" customWidth="1"/>
    <col min="2" max="2" width="22" customWidth="1"/>
    <col min="3" max="3" width="14" customWidth="1"/>
    <col min="4" max="4" width="34" customWidth="1"/>
    <col min="5" max="5" width="70" customWidth="1"/>
    <col min="6" max="6" width="32" customWidth="1"/>
  </cols>
  <sheetData>
    <row r="1" spans="1:6" ht="32" customHeight="1">
      <c r="A1" s="94" t="s">
        <v>106</v>
      </c>
      <c r="B1" s="94" t="s">
        <v>106</v>
      </c>
      <c r="C1" s="94" t="s">
        <v>106</v>
      </c>
      <c r="D1" s="94" t="s">
        <v>106</v>
      </c>
      <c r="E1" s="94" t="s">
        <v>106</v>
      </c>
      <c r="F1" s="94" t="s">
        <v>106</v>
      </c>
    </row>
    <row r="2" spans="1:6" ht="32" customHeight="1">
      <c r="A2" s="95" t="s">
        <v>107</v>
      </c>
      <c r="B2" s="95" t="s">
        <v>107</v>
      </c>
      <c r="C2" s="95" t="s">
        <v>107</v>
      </c>
      <c r="D2" s="95" t="s">
        <v>107</v>
      </c>
      <c r="E2" s="95" t="s">
        <v>107</v>
      </c>
      <c r="F2" s="95" t="s">
        <v>107</v>
      </c>
    </row>
    <row r="3" spans="1:6" ht="15">
      <c r="A3" s="1"/>
      <c r="B3" s="1"/>
      <c r="C3" s="1"/>
      <c r="D3" s="1"/>
      <c r="E3" s="1"/>
      <c r="F3" s="1"/>
    </row>
    <row r="4" spans="1:6" ht="15">
      <c r="A4" s="1"/>
      <c r="B4" s="1"/>
      <c r="C4" s="1"/>
      <c r="D4" s="1"/>
      <c r="E4" s="1"/>
      <c r="F4" s="1"/>
    </row>
    <row r="5" spans="1:6" ht="16">
      <c r="A5" s="69" t="s">
        <v>108</v>
      </c>
      <c r="B5" s="70" t="s">
        <v>109</v>
      </c>
      <c r="C5" s="70" t="s">
        <v>110</v>
      </c>
      <c r="D5" s="70" t="s">
        <v>111</v>
      </c>
      <c r="E5" s="70" t="s">
        <v>112</v>
      </c>
      <c r="F5" s="71" t="s">
        <v>113</v>
      </c>
    </row>
    <row r="6" spans="1:6" ht="48" customHeight="1">
      <c r="A6" s="72" t="s">
        <v>114</v>
      </c>
      <c r="B6" s="73" t="s">
        <v>115</v>
      </c>
      <c r="C6" s="73" t="s">
        <v>116</v>
      </c>
      <c r="D6" s="73" t="s">
        <v>117</v>
      </c>
      <c r="E6" s="73" t="s">
        <v>118</v>
      </c>
      <c r="F6" s="74" t="s">
        <v>119</v>
      </c>
    </row>
    <row r="7" spans="1:6" ht="48" customHeight="1">
      <c r="A7" s="75" t="s">
        <v>120</v>
      </c>
      <c r="B7" s="76" t="s">
        <v>121</v>
      </c>
      <c r="C7" s="76" t="s">
        <v>122</v>
      </c>
      <c r="D7" s="76" t="s">
        <v>123</v>
      </c>
      <c r="E7" s="76" t="s">
        <v>124</v>
      </c>
      <c r="F7" s="77" t="s">
        <v>125</v>
      </c>
    </row>
    <row r="8" spans="1:6" ht="48" customHeight="1">
      <c r="A8" s="75" t="s">
        <v>126</v>
      </c>
      <c r="B8" s="76" t="s">
        <v>127</v>
      </c>
      <c r="C8" s="76" t="s">
        <v>122</v>
      </c>
      <c r="D8" s="76" t="s">
        <v>123</v>
      </c>
      <c r="E8" s="76" t="s">
        <v>128</v>
      </c>
      <c r="F8" s="77" t="s">
        <v>129</v>
      </c>
    </row>
    <row r="9" spans="1:6" ht="48" customHeight="1">
      <c r="A9" s="75" t="s">
        <v>130</v>
      </c>
      <c r="B9" s="76" t="s">
        <v>131</v>
      </c>
      <c r="C9" s="76" t="s">
        <v>122</v>
      </c>
      <c r="D9" s="76" t="s">
        <v>123</v>
      </c>
      <c r="E9" s="76" t="s">
        <v>128</v>
      </c>
      <c r="F9" s="77" t="s">
        <v>129</v>
      </c>
    </row>
    <row r="10" spans="1:6" ht="48" customHeight="1">
      <c r="A10" s="75" t="s">
        <v>132</v>
      </c>
      <c r="B10" s="76" t="s">
        <v>133</v>
      </c>
      <c r="C10" s="76" t="s">
        <v>134</v>
      </c>
      <c r="D10" s="76" t="s">
        <v>135</v>
      </c>
      <c r="E10" s="76" t="s">
        <v>136</v>
      </c>
      <c r="F10" s="77" t="s">
        <v>137</v>
      </c>
    </row>
    <row r="11" spans="1:6" ht="48" customHeight="1">
      <c r="A11" s="75" t="s">
        <v>138</v>
      </c>
      <c r="B11" s="76" t="s">
        <v>139</v>
      </c>
      <c r="C11" s="76" t="s">
        <v>134</v>
      </c>
      <c r="D11" s="76" t="s">
        <v>135</v>
      </c>
      <c r="E11" s="76" t="s">
        <v>136</v>
      </c>
      <c r="F11" s="77" t="s">
        <v>140</v>
      </c>
    </row>
    <row r="12" spans="1:6" ht="48" customHeight="1">
      <c r="A12" s="78" t="s">
        <v>141</v>
      </c>
      <c r="B12" s="79" t="s">
        <v>142</v>
      </c>
      <c r="C12" s="79" t="s">
        <v>143</v>
      </c>
      <c r="D12" s="79" t="s">
        <v>144</v>
      </c>
      <c r="E12" s="79"/>
      <c r="F12" s="80" t="s">
        <v>145</v>
      </c>
    </row>
    <row r="13" spans="1:6" ht="15">
      <c r="A13" s="1"/>
      <c r="B13" s="1"/>
      <c r="C13" s="1"/>
      <c r="D13" s="1"/>
      <c r="E13" s="1"/>
      <c r="F13" s="1"/>
    </row>
    <row r="14" spans="1:6" ht="15">
      <c r="A14" s="1"/>
      <c r="B14" s="1"/>
      <c r="C14" s="1"/>
      <c r="D14" s="1"/>
      <c r="E14" s="1"/>
      <c r="F14" s="1"/>
    </row>
    <row r="15" spans="1:6" ht="15">
      <c r="A15" s="96" t="s">
        <v>146</v>
      </c>
      <c r="B15" s="96" t="s">
        <v>146</v>
      </c>
      <c r="C15" s="96" t="s">
        <v>146</v>
      </c>
      <c r="D15" s="96" t="s">
        <v>146</v>
      </c>
      <c r="E15" s="96" t="s">
        <v>146</v>
      </c>
      <c r="F15" s="96" t="s">
        <v>146</v>
      </c>
    </row>
    <row r="16" spans="1:6" ht="40" customHeight="1">
      <c r="A16" s="81" t="s">
        <v>147</v>
      </c>
      <c r="B16" s="100" t="s">
        <v>148</v>
      </c>
      <c r="C16" s="100"/>
      <c r="D16" s="100"/>
      <c r="E16" s="100"/>
      <c r="F16" s="100"/>
    </row>
    <row r="17" spans="1:6" ht="40" customHeight="1">
      <c r="A17" s="81" t="s">
        <v>149</v>
      </c>
      <c r="B17" s="100" t="s">
        <v>150</v>
      </c>
      <c r="C17" s="100"/>
      <c r="D17" s="100"/>
      <c r="E17" s="100"/>
      <c r="F17" s="100"/>
    </row>
    <row r="18" spans="1:6" ht="40" customHeight="1">
      <c r="A18" s="81" t="s">
        <v>151</v>
      </c>
      <c r="B18" s="100" t="s">
        <v>152</v>
      </c>
      <c r="C18" s="100"/>
      <c r="D18" s="100"/>
      <c r="E18" s="100"/>
      <c r="F18" s="100"/>
    </row>
    <row r="19" spans="1:6" ht="40" customHeight="1">
      <c r="A19" s="81" t="s">
        <v>153</v>
      </c>
      <c r="B19" s="100" t="s">
        <v>154</v>
      </c>
      <c r="C19" s="100"/>
      <c r="D19" s="100"/>
      <c r="E19" s="100"/>
      <c r="F19" s="100"/>
    </row>
    <row r="20" spans="1:6" ht="40" customHeight="1">
      <c r="A20" s="81" t="s">
        <v>155</v>
      </c>
      <c r="B20" s="100" t="s">
        <v>156</v>
      </c>
      <c r="C20" s="100"/>
      <c r="D20" s="100"/>
      <c r="E20" s="100"/>
      <c r="F20" s="100"/>
    </row>
    <row r="21" spans="1:6" ht="40" customHeight="1">
      <c r="A21" s="81" t="s">
        <v>157</v>
      </c>
      <c r="B21" s="100" t="s">
        <v>158</v>
      </c>
      <c r="C21" s="100"/>
      <c r="D21" s="100"/>
      <c r="E21" s="100"/>
      <c r="F21" s="100"/>
    </row>
  </sheetData>
  <mergeCells count="9">
    <mergeCell ref="B18:F18"/>
    <mergeCell ref="B19:F19"/>
    <mergeCell ref="B20:F20"/>
    <mergeCell ref="B21:F21"/>
    <mergeCell ref="A1:F1"/>
    <mergeCell ref="A2:F2"/>
    <mergeCell ref="A15:F15"/>
    <mergeCell ref="B16:F16"/>
    <mergeCell ref="B17:F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showGridLines="0" workbookViewId="0"/>
  </sheetViews>
  <sheetFormatPr baseColWidth="10" defaultColWidth="8.83203125" defaultRowHeight="14"/>
  <cols>
    <col min="1" max="1" width="31" customWidth="1"/>
    <col min="2" max="5" width="16" customWidth="1"/>
    <col min="6" max="6" width="13" customWidth="1"/>
    <col min="7" max="7" width="42" customWidth="1"/>
  </cols>
  <sheetData>
    <row r="1" spans="1:7" ht="32" customHeight="1">
      <c r="A1" s="94" t="s">
        <v>159</v>
      </c>
      <c r="B1" s="94" t="s">
        <v>159</v>
      </c>
      <c r="C1" s="94" t="s">
        <v>159</v>
      </c>
      <c r="D1" s="94" t="s">
        <v>159</v>
      </c>
      <c r="E1" s="94" t="s">
        <v>159</v>
      </c>
      <c r="F1" s="94" t="s">
        <v>159</v>
      </c>
      <c r="G1" s="94" t="s">
        <v>159</v>
      </c>
    </row>
    <row r="2" spans="1:7" ht="32" customHeight="1">
      <c r="A2" s="95" t="s">
        <v>160</v>
      </c>
      <c r="B2" s="95" t="s">
        <v>160</v>
      </c>
      <c r="C2" s="95" t="s">
        <v>160</v>
      </c>
      <c r="D2" s="95" t="s">
        <v>160</v>
      </c>
      <c r="E2" s="95" t="s">
        <v>160</v>
      </c>
      <c r="F2" s="95" t="s">
        <v>160</v>
      </c>
      <c r="G2" s="95" t="s">
        <v>160</v>
      </c>
    </row>
    <row r="3" spans="1:7" ht="15">
      <c r="A3" s="1"/>
      <c r="B3" s="1"/>
      <c r="C3" s="1"/>
      <c r="D3" s="1"/>
      <c r="E3" s="1"/>
      <c r="F3" s="1"/>
      <c r="G3" s="1"/>
    </row>
    <row r="4" spans="1:7" ht="15">
      <c r="A4" s="1"/>
      <c r="B4" s="1"/>
      <c r="C4" s="1"/>
      <c r="D4" s="1"/>
      <c r="E4" s="1"/>
      <c r="F4" s="1"/>
      <c r="G4" s="1"/>
    </row>
    <row r="5" spans="1:7" ht="16">
      <c r="A5" s="69" t="s">
        <v>161</v>
      </c>
      <c r="B5" s="70" t="s">
        <v>162</v>
      </c>
      <c r="C5" s="70" t="s">
        <v>163</v>
      </c>
      <c r="D5" s="70" t="s">
        <v>164</v>
      </c>
      <c r="E5" s="70" t="s">
        <v>165</v>
      </c>
      <c r="F5" s="70" t="s">
        <v>166</v>
      </c>
      <c r="G5" s="71" t="s">
        <v>167</v>
      </c>
    </row>
    <row r="6" spans="1:7" ht="15">
      <c r="A6" s="55" t="s">
        <v>168</v>
      </c>
      <c r="B6" s="56" t="e">
        <f>#REF!</f>
        <v>#REF!</v>
      </c>
      <c r="C6" s="56">
        <v>0</v>
      </c>
      <c r="D6" s="56" t="e">
        <f>B6-C6</f>
        <v>#REF!</v>
      </c>
      <c r="E6" s="56">
        <v>0.01</v>
      </c>
      <c r="F6" s="82" t="e">
        <f>IF(ABS(D6)&lt;=E6,"OK","CHECK")</f>
        <v>#REF!</v>
      </c>
      <c r="G6" s="83" t="s">
        <v>169</v>
      </c>
    </row>
    <row r="7" spans="1:7" ht="15">
      <c r="A7" s="2" t="s">
        <v>170</v>
      </c>
      <c r="B7" s="57">
        <f>SUM('15-Year Model'!H6:H20)</f>
        <v>35092.568047097571</v>
      </c>
      <c r="C7" s="57" t="e">
        <f>SUM(#REF!)</f>
        <v>#REF!</v>
      </c>
      <c r="D7" s="57" t="e">
        <f>B7-C7</f>
        <v>#REF!</v>
      </c>
      <c r="E7" s="57">
        <v>0.01</v>
      </c>
      <c r="F7" s="84" t="e">
        <f>IF(ABS(D7)&lt;=E7,"OK","CHECK")</f>
        <v>#REF!</v>
      </c>
      <c r="G7" s="85" t="s">
        <v>171</v>
      </c>
    </row>
    <row r="8" spans="1:7" ht="15">
      <c r="A8" s="2" t="s">
        <v>172</v>
      </c>
      <c r="B8" s="57">
        <f>SUM('15-Year Model'!D6:D20)</f>
        <v>0</v>
      </c>
      <c r="C8" s="57">
        <v>0</v>
      </c>
      <c r="D8" s="57">
        <f>B8-C8</f>
        <v>0</v>
      </c>
      <c r="E8" s="57">
        <v>0.01</v>
      </c>
      <c r="F8" s="84" t="str">
        <f>IF(ABS(D8)&lt;=E8,"OK","CHECK")</f>
        <v>OK</v>
      </c>
      <c r="G8" s="85" t="s">
        <v>173</v>
      </c>
    </row>
    <row r="9" spans="1:7" ht="15">
      <c r="A9" s="2" t="s">
        <v>174</v>
      </c>
      <c r="B9" s="86">
        <f>COUNT('15-Year Model'!A6:A20)</f>
        <v>15</v>
      </c>
      <c r="C9" s="86">
        <v>15</v>
      </c>
      <c r="D9" s="86">
        <f>B9-C9</f>
        <v>0</v>
      </c>
      <c r="E9" s="86">
        <v>0</v>
      </c>
      <c r="F9" s="84" t="str">
        <f>IF(ABS(D9)&lt;=E9,"OK","CHECK")</f>
        <v>OK</v>
      </c>
      <c r="G9" s="85" t="s">
        <v>175</v>
      </c>
    </row>
    <row r="10" spans="1:7" ht="15">
      <c r="A10" s="87" t="s">
        <v>176</v>
      </c>
      <c r="B10" s="88"/>
      <c r="C10" s="88"/>
      <c r="D10" s="88"/>
      <c r="E10" s="88"/>
      <c r="F10" s="88" t="str">
        <f>IF(COUNTIF(F6:F9,"CHECK")=0,"OK","CHECK")</f>
        <v>OK</v>
      </c>
      <c r="G10" s="89" t="s">
        <v>177</v>
      </c>
    </row>
  </sheetData>
  <mergeCells count="2">
    <mergeCell ref="A1:G1"/>
    <mergeCell ref="A2:G2"/>
  </mergeCells>
  <conditionalFormatting sqref="F6:F10">
    <cfRule type="containsText" dxfId="1" priority="1" operator="containsText" text="OK"/>
    <cfRule type="containsText" dxfId="0" priority="2" operator="containsText" text="CHECK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Assumptions</vt:lpstr>
      <vt:lpstr>15-Year Model</vt:lpstr>
      <vt:lpstr>Sources &amp; Notes</vt:lpstr>
      <vt:lpstr>Checks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McGrath</cp:lastModifiedBy>
  <dcterms:created xsi:type="dcterms:W3CDTF">2026-07-24T21:15:57Z</dcterms:created>
  <dcterms:modified xsi:type="dcterms:W3CDTF">2026-08-10T16:06:42Z</dcterms:modified>
</cp:coreProperties>
</file>